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T137" i="3"/>
  <c r="U137" s="1"/>
  <c r="AD107"/>
  <c r="AD108"/>
  <c r="AD68"/>
  <c r="AD60"/>
  <c r="AD39"/>
  <c r="AD36"/>
  <c r="AD18"/>
  <c r="AD8"/>
  <c r="AE109"/>
  <c r="U136"/>
  <c r="T136"/>
  <c r="AA108"/>
  <c r="AA91"/>
  <c r="AA74"/>
  <c r="AA68"/>
  <c r="AA60"/>
  <c r="AA47"/>
  <c r="AA44"/>
  <c r="AA92"/>
  <c r="AA36"/>
  <c r="AA18"/>
  <c r="AA13"/>
  <c r="AA8"/>
  <c r="AB109"/>
  <c r="U135"/>
  <c r="T135"/>
  <c r="U134"/>
  <c r="T134"/>
  <c r="U133"/>
  <c r="T133"/>
  <c r="Z35"/>
  <c r="Z30"/>
  <c r="Z83"/>
  <c r="AD109" l="1"/>
  <c r="AA109"/>
  <c r="AC109" s="1"/>
  <c r="X91"/>
  <c r="X74"/>
  <c r="X68"/>
  <c r="X60"/>
  <c r="Y109"/>
  <c r="X54"/>
  <c r="X44"/>
  <c r="X39"/>
  <c r="X38"/>
  <c r="X36"/>
  <c r="X18"/>
  <c r="X13"/>
  <c r="X8"/>
  <c r="U71"/>
  <c r="U74"/>
  <c r="U68"/>
  <c r="U60"/>
  <c r="U44"/>
  <c r="U38"/>
  <c r="U36"/>
  <c r="U18"/>
  <c r="U13"/>
  <c r="U8"/>
  <c r="V109"/>
  <c r="R68"/>
  <c r="R108"/>
  <c r="R74"/>
  <c r="R60"/>
  <c r="R48"/>
  <c r="R38"/>
  <c r="R36"/>
  <c r="R18"/>
  <c r="R13"/>
  <c r="R8"/>
  <c r="S109"/>
  <c r="T132"/>
  <c r="U132" s="1"/>
  <c r="O74"/>
  <c r="O92"/>
  <c r="O39"/>
  <c r="O18"/>
  <c r="O108"/>
  <c r="O60"/>
  <c r="O13"/>
  <c r="O8"/>
  <c r="P109"/>
  <c r="T131"/>
  <c r="U131" s="1"/>
  <c r="L26"/>
  <c r="L108"/>
  <c r="L84"/>
  <c r="L74"/>
  <c r="L67"/>
  <c r="L60"/>
  <c r="L92"/>
  <c r="L18"/>
  <c r="L13"/>
  <c r="L8"/>
  <c r="M109"/>
  <c r="T130"/>
  <c r="U130" s="1"/>
  <c r="I48"/>
  <c r="I43"/>
  <c r="I8"/>
  <c r="I13"/>
  <c r="I18"/>
  <c r="I31"/>
  <c r="I60"/>
  <c r="I74"/>
  <c r="I83"/>
  <c r="I108"/>
  <c r="J109"/>
  <c r="T129"/>
  <c r="U129" s="1"/>
  <c r="F44"/>
  <c r="F18"/>
  <c r="F8"/>
  <c r="F74"/>
  <c r="F108"/>
  <c r="G109"/>
  <c r="T128"/>
  <c r="U128" s="1"/>
  <c r="C92"/>
  <c r="C108"/>
  <c r="C83"/>
  <c r="C48"/>
  <c r="C44"/>
  <c r="C18"/>
  <c r="C8"/>
  <c r="T127"/>
  <c r="U127" s="1"/>
  <c r="T126"/>
  <c r="U126" s="1"/>
  <c r="T125"/>
  <c r="U125" s="1"/>
  <c r="T124"/>
  <c r="U124" s="1"/>
  <c r="T123"/>
  <c r="U123" s="1"/>
  <c r="T122"/>
  <c r="U122" s="1"/>
  <c r="T121"/>
  <c r="U121" s="1"/>
  <c r="T120"/>
  <c r="U120" s="1"/>
  <c r="T119"/>
  <c r="U119" s="1"/>
  <c r="T118"/>
  <c r="U118" s="1"/>
  <c r="T117"/>
  <c r="U117" s="1"/>
  <c r="T116"/>
  <c r="U116" s="1"/>
  <c r="D109"/>
  <c r="AF109" l="1"/>
  <c r="F109"/>
  <c r="I109"/>
  <c r="K109" s="1"/>
  <c r="O109"/>
  <c r="X109"/>
  <c r="Z109" s="1"/>
  <c r="C109"/>
  <c r="E109" s="1"/>
  <c r="L109"/>
  <c r="N109" s="1"/>
  <c r="Q109"/>
  <c r="R109"/>
  <c r="H109"/>
  <c r="U109"/>
  <c r="W109" s="1"/>
  <c r="T109"/>
</calcChain>
</file>

<file path=xl/sharedStrings.xml><?xml version="1.0" encoding="utf-8"?>
<sst xmlns="http://schemas.openxmlformats.org/spreadsheetml/2006/main" count="422" uniqueCount="301">
  <si>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</si>
  <si>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</si>
  <si>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</si>
  <si>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</si>
  <si>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</si>
  <si>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</si>
  <si>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</si>
  <si>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</si>
  <si>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</si>
  <si>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</si>
  <si>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</si>
  <si>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</si>
  <si>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</si>
  <si>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</si>
  <si>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</si>
  <si>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</si>
  <si>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</si>
  <si>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</si>
  <si>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</si>
  <si>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</si>
  <si>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</si>
  <si>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</si>
  <si>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</si>
  <si>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</si>
  <si>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</si>
  <si>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</si>
  <si>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</si>
  <si>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</si>
  <si>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</si>
  <si>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</si>
  <si>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</si>
  <si>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</si>
  <si>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</si>
  <si>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</si>
  <si>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</si>
  <si>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</si>
  <si>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</si>
  <si>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</si>
  <si>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</si>
  <si>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</si>
  <si>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</si>
  <si>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</si>
  <si>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</si>
  <si>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</si>
  <si>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</si>
  <si>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</si>
  <si>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</si>
  <si>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</si>
  <si>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</si>
  <si>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</si>
  <si>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</si>
  <si>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</si>
  <si>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</si>
  <si>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</si>
  <si>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</si>
  <si>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</si>
  <si>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</si>
  <si>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</si>
  <si>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</si>
  <si>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</si>
  <si>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</si>
  <si>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</si>
  <si>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</si>
  <si>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</si>
  <si>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</si>
  <si>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</si>
  <si>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</si>
  <si>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</si>
  <si>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</si>
  <si>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</si>
  <si>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</si>
  <si>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</si>
  <si>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</si>
  <si>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</si>
  <si>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</si>
  <si>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</si>
  <si>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</si>
  <si>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</si>
  <si>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</si>
  <si>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</si>
  <si>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</si>
  <si>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</si>
  <si>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</si>
  <si>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</si>
  <si>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</si>
  <si>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</si>
  <si>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</si>
  <si>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</si>
  <si>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</si>
  <si>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</si>
  <si>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</si>
  <si>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</si>
  <si>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</si>
  <si>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</si>
  <si>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</si>
  <si>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</si>
  <si>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</si>
  <si>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</si>
  <si>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</si>
  <si>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</si>
  <si>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</si>
  <si>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</si>
  <si>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</si>
  <si>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</si>
  <si>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</si>
  <si>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</si>
  <si>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</si>
  <si>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</si>
  <si>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</si>
  <si>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</si>
  <si>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</si>
  <si>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</si>
  <si>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</si>
  <si>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</si>
  <si>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</si>
  <si>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</si>
  <si>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</si>
  <si>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</si>
  <si>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</si>
  <si>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</si>
  <si>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</si>
  <si>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</si>
  <si>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</si>
  <si>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</si>
  <si>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</si>
  <si>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</si>
  <si>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</si>
  <si>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</si>
  <si>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</si>
  <si>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</si>
  <si>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</si>
  <si>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</si>
  <si>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</si>
  <si>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</si>
  <si>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</si>
  <si>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</si>
  <si>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</si>
  <si>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</si>
  <si>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</si>
  <si>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</si>
  <si>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</si>
  <si>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</si>
  <si>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</si>
  <si>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</si>
  <si>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</si>
  <si>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</si>
  <si>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</si>
  <si>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</si>
  <si>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</si>
  <si>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</si>
  <si>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</si>
  <si>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</si>
  <si>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</si>
  <si>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</si>
  <si>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</si>
  <si>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</si>
  <si>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</si>
  <si>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</si>
  <si>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</si>
  <si>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</si>
  <si>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</si>
  <si>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</si>
  <si>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</si>
  <si>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</si>
  <si>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</si>
  <si>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</si>
  <si>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</si>
  <si>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</si>
  <si>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</si>
  <si>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</si>
  <si>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</si>
  <si>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</si>
  <si>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</si>
  <si>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</si>
  <si>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</si>
  <si>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</si>
  <si>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</si>
  <si>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</si>
  <si>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</si>
  <si>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</si>
  <si>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</si>
  <si>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</si>
  <si>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</si>
  <si>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</si>
  <si>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</si>
  <si>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</si>
  <si>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</si>
  <si>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</si>
  <si>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</si>
  <si>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</si>
  <si>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</si>
  <si>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</si>
  <si>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</si>
  <si>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</si>
  <si>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</si>
  <si>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</si>
  <si>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</si>
  <si>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</si>
  <si>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</si>
  <si>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</si>
  <si>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</si>
  <si>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</si>
  <si>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</si>
  <si>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</si>
  <si>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</si>
  <si>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</si>
  <si>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</si>
  <si>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</si>
  <si>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</si>
  <si>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</si>
  <si>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</si>
  <si>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</si>
  <si>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</si>
  <si>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</si>
  <si>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</si>
  <si>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</si>
  <si>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</si>
  <si>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</si>
  <si>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</si>
  <si>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</si>
  <si>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</si>
  <si>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</si>
  <si>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</si>
  <si>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</si>
  <si>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</si>
  <si>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</si>
  <si>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Jan-10</t>
  </si>
  <si>
    <t>EMC100S1</t>
  </si>
  <si>
    <t>Emcon Technologies</t>
  </si>
  <si>
    <t>MAG300S1</t>
  </si>
  <si>
    <t>Magna Seating Det</t>
  </si>
  <si>
    <t>TIS100S1</t>
  </si>
  <si>
    <t>01/10</t>
  </si>
  <si>
    <t>NONE</t>
  </si>
  <si>
    <t>Feb-10</t>
  </si>
  <si>
    <t>PPM Cum   2.47</t>
  </si>
  <si>
    <t>02/10</t>
  </si>
  <si>
    <t>MAT100S1</t>
  </si>
  <si>
    <t>Matcor Automotive</t>
  </si>
  <si>
    <t xml:space="preserve">Mercury St - LUPAUL </t>
  </si>
  <si>
    <t>Striker</t>
  </si>
  <si>
    <t>welded incorrectly</t>
  </si>
  <si>
    <t>Wayne Mfg</t>
  </si>
  <si>
    <t>Wellington Industries (GM)</t>
  </si>
  <si>
    <t>Mar-10</t>
  </si>
  <si>
    <t>TBD</t>
  </si>
  <si>
    <t>PPM Cum    2.65</t>
  </si>
  <si>
    <t>ISSUES FOR FEBRUARY</t>
  </si>
  <si>
    <t>INT110S2</t>
  </si>
  <si>
    <t>Wabash Tech</t>
  </si>
  <si>
    <t>ISSUES FOR MARCH</t>
  </si>
  <si>
    <t>03/10</t>
  </si>
  <si>
    <t>Apr-10</t>
  </si>
  <si>
    <t>ISSUES FOR APRIL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</si>
  <si>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</si>
  <si>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</si>
  <si>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</si>
  <si>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</si>
  <si>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</si>
  <si>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</si>
  <si>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</si>
  <si>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</si>
  <si>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</si>
  <si>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PPM Cum    2.525</t>
  </si>
  <si>
    <t>ISSUES FOR MAY</t>
  </si>
  <si>
    <t>05/10</t>
  </si>
  <si>
    <t>ISSUES FOR JUNE</t>
  </si>
  <si>
    <t>May-10</t>
  </si>
  <si>
    <t>June-10</t>
  </si>
  <si>
    <t>FOR120S1</t>
  </si>
  <si>
    <t>Ford Service</t>
  </si>
  <si>
    <t>06/10</t>
  </si>
  <si>
    <t>July-10</t>
  </si>
  <si>
    <t>Aug-10</t>
  </si>
  <si>
    <t>TISA / TBIN</t>
  </si>
  <si>
    <t>ISSUES FOR JULY</t>
  </si>
  <si>
    <t>1350479-pia03</t>
  </si>
  <si>
    <t>notch off location</t>
  </si>
  <si>
    <t>WM de Mexico</t>
  </si>
  <si>
    <t>ISSUES FOR AUGUST</t>
  </si>
  <si>
    <t>11005AE</t>
  </si>
  <si>
    <t>07/10</t>
  </si>
  <si>
    <t>08/10</t>
  </si>
  <si>
    <t>Hanger</t>
  </si>
  <si>
    <t>skipped welds</t>
  </si>
  <si>
    <t>7C34-5291-GC</t>
  </si>
  <si>
    <t>weld location off</t>
  </si>
  <si>
    <t>Flexible Products</t>
  </si>
  <si>
    <t>A1256AB</t>
  </si>
  <si>
    <t>form off location</t>
  </si>
  <si>
    <t>Formet Industries</t>
  </si>
  <si>
    <t>PPM Cum    0.14</t>
  </si>
  <si>
    <t>ISSUES FOR SEPTEMBER</t>
  </si>
  <si>
    <t>Sep-10</t>
  </si>
  <si>
    <t>09/10</t>
  </si>
  <si>
    <t>none</t>
  </si>
  <si>
    <t>ISSUES FOR OCTOBER</t>
  </si>
  <si>
    <t>Oct-10</t>
  </si>
  <si>
    <t>FORIECA</t>
  </si>
  <si>
    <t>Ford Venezuela</t>
  </si>
  <si>
    <t>10/10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</si>
</sst>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855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Chart!$F$22:$F$34</c:f>
              <c:strCache>
                <c:ptCount val="13"/>
                <c:pt idx="0">
                  <c:v>05/09</c:v>
                </c:pt>
                <c:pt idx="1">
                  <c:v>06/09</c:v>
                </c:pt>
                <c:pt idx="2">
                  <c:v>07/09</c:v>
                </c:pt>
                <c:pt idx="3">
                  <c:v>08/09</c:v>
                </c:pt>
                <c:pt idx="4">
                  <c:v>09/09</c:v>
                </c:pt>
                <c:pt idx="5">
                  <c:v>10/09</c:v>
                </c:pt>
                <c:pt idx="6">
                  <c:v>11/09</c:v>
                </c:pt>
                <c:pt idx="7">
                  <c:v>12/09</c:v>
                </c:pt>
                <c:pt idx="8">
                  <c:v>01/10</c:v>
                </c:pt>
                <c:pt idx="9">
                  <c:v>02/10</c:v>
                </c:pt>
                <c:pt idx="10">
                  <c:v>03/10</c:v>
                </c:pt>
                <c:pt idx="11">
                  <c:v>04/10</c:v>
                </c:pt>
                <c:pt idx="12">
                  <c:v>05/10</c:v>
                </c:pt>
              </c:strCache>
            </c:strRef>
          </c:cat>
          <c:val>
            <c:numRef>
              <c:f>Chart!$G$22:$G$34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1356213620813649"/>
                  <c:y val="-0.14267566512947447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0.10880581229711228"/>
                  <c:y val="-0.13196614644337726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Chart!$F$22:$F$34</c:f>
              <c:strCache>
                <c:ptCount val="13"/>
                <c:pt idx="0">
                  <c:v>05/09</c:v>
                </c:pt>
                <c:pt idx="1">
                  <c:v>06/09</c:v>
                </c:pt>
                <c:pt idx="2">
                  <c:v>07/09</c:v>
                </c:pt>
                <c:pt idx="3">
                  <c:v>08/09</c:v>
                </c:pt>
                <c:pt idx="4">
                  <c:v>09/09</c:v>
                </c:pt>
                <c:pt idx="5">
                  <c:v>10/09</c:v>
                </c:pt>
                <c:pt idx="6">
                  <c:v>11/09</c:v>
                </c:pt>
                <c:pt idx="7">
                  <c:v>12/09</c:v>
                </c:pt>
                <c:pt idx="8">
                  <c:v>01/10</c:v>
                </c:pt>
                <c:pt idx="9">
                  <c:v>02/10</c:v>
                </c:pt>
                <c:pt idx="10">
                  <c:v>03/10</c:v>
                </c:pt>
                <c:pt idx="11">
                  <c:v>04/10</c:v>
                </c:pt>
                <c:pt idx="12">
                  <c:v>05/10</c:v>
                </c:pt>
              </c:strCache>
            </c:strRef>
          </c:cat>
          <c:val>
            <c:numRef>
              <c:f>Chart!$H$22:$H$34</c:f>
              <c:numCache>
                <c:formatCode>General</c:formatCode>
                <c:ptCount val="13"/>
                <c:pt idx="0">
                  <c:v>17.25</c:v>
                </c:pt>
                <c:pt idx="1">
                  <c:v>12.42</c:v>
                </c:pt>
                <c:pt idx="2">
                  <c:v>12.42</c:v>
                </c:pt>
                <c:pt idx="3">
                  <c:v>7.88</c:v>
                </c:pt>
                <c:pt idx="4">
                  <c:v>5.27</c:v>
                </c:pt>
                <c:pt idx="5">
                  <c:v>3.109</c:v>
                </c:pt>
                <c:pt idx="6">
                  <c:v>3.109</c:v>
                </c:pt>
                <c:pt idx="7">
                  <c:v>2.879</c:v>
                </c:pt>
                <c:pt idx="8">
                  <c:v>2.4729999999999999</c:v>
                </c:pt>
                <c:pt idx="9">
                  <c:v>2.6150000000000002</c:v>
                </c:pt>
                <c:pt idx="10">
                  <c:v>2.6150000000000002</c:v>
                </c:pt>
                <c:pt idx="11">
                  <c:v>2.5249999999999999</c:v>
                </c:pt>
                <c:pt idx="12">
                  <c:v>2.5249999999999999</c:v>
                </c:pt>
              </c:numCache>
            </c:numRef>
          </c:val>
        </c:ser>
        <c:marker val="1"/>
        <c:axId val="75255168"/>
        <c:axId val="75269248"/>
      </c:lineChart>
      <c:catAx>
        <c:axId val="75255168"/>
        <c:scaling>
          <c:orientation val="minMax"/>
        </c:scaling>
        <c:axPos val="b"/>
        <c:numFmt formatCode="d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69248"/>
        <c:crosses val="autoZero"/>
        <c:auto val="1"/>
        <c:lblAlgn val="ctr"/>
        <c:lblOffset val="100"/>
        <c:tickLblSkip val="1"/>
        <c:tickMarkSkip val="1"/>
      </c:catAx>
      <c:valAx>
        <c:axId val="7526924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045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55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142"/>
          <c:w val="0.24588502070173923"/>
          <c:h val="2.945117638676635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37"/>
  <sheetViews>
    <sheetView workbookViewId="0">
      <selection activeCell="H26" sqref="H26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232</v>
      </c>
      <c r="G30" s="9">
        <v>25</v>
      </c>
      <c r="H30" s="9">
        <v>2.4729999999999999</v>
      </c>
    </row>
    <row r="31" spans="2:8">
      <c r="F31" s="11" t="s">
        <v>236</v>
      </c>
      <c r="G31" s="9">
        <v>25</v>
      </c>
      <c r="H31" s="9">
        <v>2.6150000000000002</v>
      </c>
    </row>
    <row r="32" spans="2:8">
      <c r="F32" s="11" t="s">
        <v>251</v>
      </c>
      <c r="G32" s="9">
        <v>25</v>
      </c>
      <c r="H32" s="9">
        <v>2.6150000000000002</v>
      </c>
    </row>
    <row r="33" spans="6:8">
      <c r="F33" s="11" t="s">
        <v>262</v>
      </c>
      <c r="G33" s="9">
        <v>25</v>
      </c>
      <c r="H33" s="9">
        <v>2.5249999999999999</v>
      </c>
    </row>
    <row r="34" spans="6:8">
      <c r="F34" s="11" t="s">
        <v>265</v>
      </c>
      <c r="G34" s="9">
        <v>25</v>
      </c>
      <c r="H34" s="9">
        <v>2.5249999999999999</v>
      </c>
    </row>
    <row r="35" spans="6:8">
      <c r="F35" s="11" t="s">
        <v>271</v>
      </c>
      <c r="G35" s="9">
        <v>25</v>
      </c>
      <c r="H35" s="9">
        <v>0.14000000000000001</v>
      </c>
    </row>
    <row r="36" spans="6:8">
      <c r="F36" s="11" t="s">
        <v>281</v>
      </c>
      <c r="G36" s="9">
        <v>25</v>
      </c>
      <c r="H36" s="9">
        <v>0.14000000000000001</v>
      </c>
    </row>
    <row r="37" spans="6:8">
      <c r="F37" s="11" t="s">
        <v>282</v>
      </c>
      <c r="G37" s="9">
        <v>25</v>
      </c>
      <c r="H37" s="9">
        <v>0.14000000000000001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tabSelected="1" zoomScaleNormal="100" zoomScaleSheetLayoutView="100" workbookViewId="0">
      <pane xSplit="2" ySplit="2" topLeftCell="O110" activePane="bottomRight" state="frozen"/>
      <selection pane="topRight" activeCell="C1" sqref="C1"/>
      <selection pane="bottomLeft" activeCell="A2" sqref="A2"/>
      <selection pane="bottomRight" activeCell="R137" sqref="R137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226</v>
      </c>
      <c r="D2" s="30" t="s">
        <v>6</v>
      </c>
      <c r="E2" s="30" t="s">
        <v>1</v>
      </c>
      <c r="F2" s="29" t="s">
        <v>234</v>
      </c>
      <c r="G2" s="30" t="s">
        <v>6</v>
      </c>
      <c r="H2" s="30" t="s">
        <v>1</v>
      </c>
      <c r="I2" s="29" t="s">
        <v>244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267</v>
      </c>
      <c r="P2" s="30" t="s">
        <v>6</v>
      </c>
      <c r="Q2" s="30" t="s">
        <v>1</v>
      </c>
      <c r="R2" s="29" t="s">
        <v>268</v>
      </c>
      <c r="S2" s="30" t="s">
        <v>6</v>
      </c>
      <c r="T2" s="30" t="s">
        <v>1</v>
      </c>
      <c r="U2" s="29" t="s">
        <v>272</v>
      </c>
      <c r="V2" s="30" t="s">
        <v>6</v>
      </c>
      <c r="W2" s="30" t="s">
        <v>1</v>
      </c>
      <c r="X2" s="29" t="s">
        <v>273</v>
      </c>
      <c r="Y2" s="30" t="s">
        <v>6</v>
      </c>
      <c r="Z2" s="30" t="s">
        <v>1</v>
      </c>
      <c r="AA2" s="29" t="s">
        <v>293</v>
      </c>
      <c r="AB2" s="30" t="s">
        <v>6</v>
      </c>
      <c r="AC2" s="30" t="s">
        <v>1</v>
      </c>
      <c r="AD2" s="29" t="s">
        <v>297</v>
      </c>
      <c r="AE2" s="30" t="s">
        <v>6</v>
      </c>
      <c r="AF2" s="30" t="s">
        <v>1</v>
      </c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  <c r="F4" s="18">
        <v>4294</v>
      </c>
      <c r="AA4" s="18">
        <v>1111</v>
      </c>
    </row>
    <row r="5" spans="1:38">
      <c r="A5" s="18" t="s">
        <v>66</v>
      </c>
      <c r="B5" s="12" t="s">
        <v>46</v>
      </c>
      <c r="C5" s="42"/>
      <c r="D5" s="42"/>
      <c r="E5" s="42"/>
      <c r="F5" s="18">
        <v>2040</v>
      </c>
      <c r="R5" s="18">
        <v>4800</v>
      </c>
      <c r="X5" s="18">
        <v>1620</v>
      </c>
      <c r="AD5" s="18">
        <v>4800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34800</v>
      </c>
      <c r="D7" s="42"/>
      <c r="E7" s="42"/>
      <c r="F7" s="18">
        <v>32520</v>
      </c>
      <c r="I7" s="18">
        <v>27000</v>
      </c>
      <c r="L7" s="18">
        <v>42720</v>
      </c>
      <c r="O7" s="18">
        <v>31920</v>
      </c>
      <c r="R7" s="18">
        <v>29520</v>
      </c>
      <c r="U7" s="18">
        <v>29160</v>
      </c>
      <c r="X7" s="18">
        <v>23040</v>
      </c>
      <c r="AA7" s="18">
        <v>43560</v>
      </c>
      <c r="AD7" s="18">
        <v>35700</v>
      </c>
    </row>
    <row r="8" spans="1:38">
      <c r="A8" s="18" t="s">
        <v>67</v>
      </c>
      <c r="B8" s="12" t="s">
        <v>52</v>
      </c>
      <c r="C8" s="42">
        <f>43400+39312</f>
        <v>82712</v>
      </c>
      <c r="D8" s="42"/>
      <c r="E8" s="42"/>
      <c r="F8" s="18">
        <f>46200+52416</f>
        <v>98616</v>
      </c>
      <c r="I8" s="18">
        <f>65520+60000+42400</f>
        <v>167920</v>
      </c>
      <c r="L8" s="18">
        <f>35800+55650</f>
        <v>91450</v>
      </c>
      <c r="O8" s="18">
        <f>56000+51544</f>
        <v>107544</v>
      </c>
      <c r="R8" s="18">
        <f>72000+60268</f>
        <v>132268</v>
      </c>
      <c r="U8" s="18">
        <f>53100+48125</f>
        <v>101225</v>
      </c>
      <c r="X8" s="18">
        <f>53600+43176</f>
        <v>96776</v>
      </c>
      <c r="AA8" s="18">
        <f>64000+66119</f>
        <v>130119</v>
      </c>
      <c r="AD8" s="18">
        <f>70700+61980</f>
        <v>132680</v>
      </c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  <c r="L10" s="18">
        <v>100</v>
      </c>
    </row>
    <row r="11" spans="1:38">
      <c r="A11" s="18" t="s">
        <v>68</v>
      </c>
      <c r="B11" s="12" t="s">
        <v>25</v>
      </c>
      <c r="C11" s="42"/>
      <c r="D11" s="42"/>
      <c r="E11" s="42"/>
      <c r="L11" s="18">
        <v>40000</v>
      </c>
      <c r="O11" s="18">
        <v>40000</v>
      </c>
      <c r="R11" s="18">
        <v>40000</v>
      </c>
      <c r="U11" s="18">
        <v>40000</v>
      </c>
      <c r="X11" s="18">
        <v>40000</v>
      </c>
      <c r="AA11" s="18">
        <v>40000</v>
      </c>
      <c r="AD11" s="18">
        <v>60000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>
        <v>31500</v>
      </c>
      <c r="D13" s="42"/>
      <c r="E13" s="42"/>
      <c r="F13" s="18">
        <v>40500</v>
      </c>
      <c r="I13" s="18">
        <f>36000+576</f>
        <v>36576</v>
      </c>
      <c r="L13" s="18">
        <f>37500+720</f>
        <v>38220</v>
      </c>
      <c r="O13" s="18">
        <f>32296+720</f>
        <v>33016</v>
      </c>
      <c r="R13" s="18">
        <f>43760+864</f>
        <v>44624</v>
      </c>
      <c r="U13" s="18">
        <f>19500+1872</f>
        <v>21372</v>
      </c>
      <c r="X13" s="18">
        <f>37500+1440</f>
        <v>38940</v>
      </c>
      <c r="AA13" s="18">
        <f>34500+1008</f>
        <v>35508</v>
      </c>
      <c r="AD13" s="18">
        <v>19500</v>
      </c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>
        <v>7600</v>
      </c>
      <c r="D15" s="42"/>
      <c r="E15" s="42"/>
      <c r="F15" s="18">
        <v>7400</v>
      </c>
      <c r="I15" s="18">
        <v>6000</v>
      </c>
      <c r="L15" s="18">
        <v>12000</v>
      </c>
      <c r="O15" s="18">
        <v>6000</v>
      </c>
      <c r="R15" s="18">
        <v>6000</v>
      </c>
      <c r="U15" s="18">
        <v>6000</v>
      </c>
      <c r="X15" s="18">
        <v>6000</v>
      </c>
      <c r="AA15" s="18">
        <v>12000</v>
      </c>
      <c r="AD15" s="18">
        <v>6000</v>
      </c>
    </row>
    <row r="16" spans="1:38">
      <c r="A16" s="18" t="s">
        <v>69</v>
      </c>
      <c r="B16" s="12" t="s">
        <v>56</v>
      </c>
      <c r="C16" s="42"/>
      <c r="D16" s="42"/>
      <c r="E16" s="42"/>
    </row>
    <row r="17" spans="1:30">
      <c r="A17" s="18" t="s">
        <v>124</v>
      </c>
      <c r="B17" s="12" t="s">
        <v>125</v>
      </c>
      <c r="C17" s="42"/>
      <c r="D17" s="42"/>
      <c r="E17" s="42"/>
    </row>
    <row r="18" spans="1:30">
      <c r="A18" s="18" t="s">
        <v>70</v>
      </c>
      <c r="B18" s="12" t="s">
        <v>254</v>
      </c>
      <c r="C18" s="42">
        <f>18784+5000</f>
        <v>23784</v>
      </c>
      <c r="D18" s="42"/>
      <c r="E18" s="42"/>
      <c r="F18" s="18">
        <f>20603+2500</f>
        <v>23103</v>
      </c>
      <c r="I18" s="18">
        <f>20100+5000</f>
        <v>25100</v>
      </c>
      <c r="L18" s="18">
        <f>28500+5000</f>
        <v>33500</v>
      </c>
      <c r="O18" s="18">
        <f>25000+5000</f>
        <v>30000</v>
      </c>
      <c r="R18" s="18">
        <f>28766+5601</f>
        <v>34367</v>
      </c>
      <c r="U18" s="18">
        <f>21000+7500</f>
        <v>28500</v>
      </c>
      <c r="X18" s="18">
        <f>23000+2500</f>
        <v>25500</v>
      </c>
      <c r="AA18" s="18">
        <f>30500+7500</f>
        <v>38000</v>
      </c>
      <c r="AD18" s="18">
        <f>21042+7500</f>
        <v>28542</v>
      </c>
    </row>
    <row r="19" spans="1:30">
      <c r="A19" s="18" t="s">
        <v>160</v>
      </c>
      <c r="B19" s="12" t="s">
        <v>61</v>
      </c>
      <c r="C19" s="42"/>
      <c r="D19" s="42"/>
      <c r="E19" s="42"/>
    </row>
    <row r="20" spans="1:30">
      <c r="A20" s="18" t="s">
        <v>71</v>
      </c>
      <c r="B20" s="12" t="s">
        <v>37</v>
      </c>
      <c r="C20" s="42"/>
      <c r="D20" s="42"/>
      <c r="E20" s="42"/>
    </row>
    <row r="21" spans="1:30" ht="12" customHeight="1">
      <c r="A21" s="18" t="s">
        <v>106</v>
      </c>
      <c r="B21" s="41" t="s">
        <v>34</v>
      </c>
      <c r="C21" s="42">
        <v>26000</v>
      </c>
      <c r="D21" s="42"/>
      <c r="E21" s="42"/>
      <c r="F21" s="18">
        <v>44720</v>
      </c>
      <c r="I21" s="18">
        <v>20800</v>
      </c>
    </row>
    <row r="22" spans="1:30">
      <c r="A22" s="18" t="s">
        <v>105</v>
      </c>
      <c r="B22" s="41" t="s">
        <v>53</v>
      </c>
      <c r="C22" s="42"/>
      <c r="D22" s="42"/>
      <c r="E22" s="42"/>
    </row>
    <row r="23" spans="1:30">
      <c r="A23" s="18" t="s">
        <v>227</v>
      </c>
      <c r="B23" s="41" t="s">
        <v>228</v>
      </c>
      <c r="C23" s="42">
        <v>270</v>
      </c>
      <c r="D23" s="42"/>
      <c r="E23" s="42"/>
      <c r="F23" s="18">
        <v>55</v>
      </c>
    </row>
    <row r="24" spans="1:30">
      <c r="A24" s="18" t="s">
        <v>72</v>
      </c>
      <c r="B24" s="12" t="s">
        <v>31</v>
      </c>
      <c r="C24" s="42"/>
      <c r="D24" s="42"/>
      <c r="E24" s="42"/>
      <c r="F24" s="18" t="s">
        <v>64</v>
      </c>
      <c r="I24" s="18">
        <v>8000</v>
      </c>
      <c r="O24" s="18">
        <v>3750</v>
      </c>
      <c r="R24" s="18">
        <v>4000</v>
      </c>
      <c r="U24" s="18">
        <v>4000</v>
      </c>
      <c r="X24" s="18">
        <v>3750</v>
      </c>
      <c r="AA24" s="18">
        <v>6750</v>
      </c>
      <c r="AD24" s="18">
        <v>2500</v>
      </c>
    </row>
    <row r="25" spans="1:30">
      <c r="A25" s="18" t="s">
        <v>107</v>
      </c>
      <c r="B25" s="12" t="s">
        <v>26</v>
      </c>
      <c r="C25" s="42"/>
      <c r="D25" s="42"/>
      <c r="E25" s="42"/>
    </row>
    <row r="26" spans="1:30">
      <c r="A26" s="18" t="s">
        <v>73</v>
      </c>
      <c r="B26" s="12" t="s">
        <v>45</v>
      </c>
      <c r="C26" s="42">
        <v>12000</v>
      </c>
      <c r="D26" s="42"/>
      <c r="E26" s="42"/>
      <c r="F26" s="18">
        <v>16800</v>
      </c>
      <c r="I26" s="18">
        <v>18600</v>
      </c>
      <c r="L26" s="18">
        <f>1+19000</f>
        <v>19001</v>
      </c>
      <c r="O26" s="18">
        <v>17400</v>
      </c>
      <c r="R26" s="18">
        <v>18000</v>
      </c>
      <c r="U26" s="18">
        <v>17700</v>
      </c>
      <c r="X26" s="18">
        <v>19500</v>
      </c>
      <c r="AA26" s="18">
        <v>13200</v>
      </c>
      <c r="AD26" s="18">
        <v>16800</v>
      </c>
    </row>
    <row r="27" spans="1:30">
      <c r="A27" s="18" t="s">
        <v>74</v>
      </c>
      <c r="B27" s="12" t="s">
        <v>54</v>
      </c>
      <c r="C27" s="42"/>
      <c r="D27" s="42"/>
      <c r="E27" s="42"/>
    </row>
    <row r="28" spans="1:30">
      <c r="A28" s="18" t="s">
        <v>75</v>
      </c>
      <c r="B28" s="12" t="s">
        <v>49</v>
      </c>
      <c r="C28" s="42">
        <v>72549</v>
      </c>
      <c r="D28" s="42"/>
      <c r="E28" s="43"/>
      <c r="F28" s="18">
        <v>44800</v>
      </c>
      <c r="I28" s="18">
        <v>55200</v>
      </c>
      <c r="L28" s="18">
        <v>44600</v>
      </c>
      <c r="O28" s="18">
        <v>55300</v>
      </c>
      <c r="R28" s="18">
        <v>53012</v>
      </c>
      <c r="U28" s="18">
        <v>37200</v>
      </c>
      <c r="X28" s="18">
        <v>64100</v>
      </c>
      <c r="AA28" s="18">
        <v>61500</v>
      </c>
      <c r="AD28" s="18">
        <v>48900</v>
      </c>
    </row>
    <row r="29" spans="1:30">
      <c r="A29" s="18" t="s">
        <v>114</v>
      </c>
      <c r="B29" s="12" t="s">
        <v>115</v>
      </c>
      <c r="C29" s="42"/>
      <c r="D29" s="42"/>
      <c r="E29" s="42"/>
      <c r="L29" s="18">
        <v>115600</v>
      </c>
      <c r="R29" s="18">
        <v>102000</v>
      </c>
    </row>
    <row r="30" spans="1:30">
      <c r="A30" s="18" t="s">
        <v>76</v>
      </c>
      <c r="B30" s="12" t="s">
        <v>20</v>
      </c>
      <c r="C30" s="42">
        <v>25200</v>
      </c>
      <c r="D30" s="17"/>
      <c r="E30" s="46"/>
      <c r="F30" s="18">
        <v>55200</v>
      </c>
      <c r="I30" s="18">
        <v>127886</v>
      </c>
      <c r="O30" s="18">
        <v>93900</v>
      </c>
      <c r="U30" s="18">
        <v>73200</v>
      </c>
      <c r="X30" s="18">
        <v>127809</v>
      </c>
      <c r="Y30" s="18">
        <v>10</v>
      </c>
      <c r="Z30" s="18">
        <f>+Y30/X30*1000000</f>
        <v>78.241751363362511</v>
      </c>
      <c r="AA30" s="18">
        <v>84577</v>
      </c>
      <c r="AD30" s="18">
        <v>109800</v>
      </c>
    </row>
    <row r="31" spans="1:30">
      <c r="A31" s="18" t="s">
        <v>108</v>
      </c>
      <c r="B31" s="12" t="s">
        <v>7</v>
      </c>
      <c r="C31" s="42">
        <v>800</v>
      </c>
      <c r="D31" s="42"/>
      <c r="E31" s="42"/>
      <c r="F31" s="51">
        <v>1108</v>
      </c>
      <c r="I31" s="18">
        <f>2194+7+39+2+59</f>
        <v>2301</v>
      </c>
      <c r="L31" s="18">
        <v>1100</v>
      </c>
      <c r="O31" s="18">
        <v>1100</v>
      </c>
      <c r="R31" s="18">
        <v>1100</v>
      </c>
      <c r="U31" s="18">
        <v>1400</v>
      </c>
      <c r="X31" s="18">
        <v>2200</v>
      </c>
      <c r="AA31" s="18">
        <v>1700</v>
      </c>
      <c r="AD31" s="18">
        <v>800</v>
      </c>
    </row>
    <row r="32" spans="1:30">
      <c r="A32" s="18" t="s">
        <v>78</v>
      </c>
      <c r="B32" s="12" t="s">
        <v>29</v>
      </c>
      <c r="C32" s="42">
        <v>6226</v>
      </c>
      <c r="D32" s="42"/>
      <c r="E32" s="42"/>
      <c r="F32" s="18">
        <v>3002</v>
      </c>
      <c r="I32" s="18">
        <v>7224</v>
      </c>
      <c r="L32" s="18">
        <v>6576</v>
      </c>
      <c r="O32" s="18">
        <v>13260</v>
      </c>
      <c r="R32" s="18">
        <v>12660</v>
      </c>
      <c r="U32" s="18">
        <v>6252</v>
      </c>
      <c r="X32" s="18">
        <v>11712</v>
      </c>
      <c r="AA32" s="18">
        <v>11136</v>
      </c>
      <c r="AD32" s="18">
        <v>11136</v>
      </c>
    </row>
    <row r="33" spans="1:30">
      <c r="A33" s="18" t="s">
        <v>77</v>
      </c>
      <c r="B33" s="12" t="s">
        <v>38</v>
      </c>
      <c r="C33" s="42">
        <v>19200</v>
      </c>
      <c r="D33" s="42"/>
      <c r="E33" s="42"/>
      <c r="F33" s="18">
        <v>21750</v>
      </c>
      <c r="I33" s="18">
        <v>26700</v>
      </c>
      <c r="L33" s="18">
        <v>18500</v>
      </c>
      <c r="O33" s="18">
        <v>20400</v>
      </c>
      <c r="R33" s="18">
        <v>25903</v>
      </c>
      <c r="U33" s="18">
        <v>11500</v>
      </c>
      <c r="X33" s="18">
        <v>24008</v>
      </c>
      <c r="AA33" s="18">
        <v>18400</v>
      </c>
      <c r="AD33" s="18">
        <v>17400</v>
      </c>
    </row>
    <row r="34" spans="1:30">
      <c r="A34" s="18" t="s">
        <v>79</v>
      </c>
      <c r="B34" s="12" t="s">
        <v>146</v>
      </c>
      <c r="C34" s="42">
        <v>30260</v>
      </c>
      <c r="D34" s="42"/>
      <c r="E34" s="42"/>
      <c r="F34" s="18">
        <v>23512</v>
      </c>
      <c r="I34" s="18">
        <v>24900</v>
      </c>
      <c r="L34" s="18">
        <v>33840</v>
      </c>
      <c r="O34" s="18">
        <v>34160</v>
      </c>
      <c r="R34" s="18">
        <v>35274</v>
      </c>
      <c r="U34" s="18">
        <v>18480</v>
      </c>
      <c r="X34" s="18">
        <v>15120</v>
      </c>
      <c r="AA34" s="18">
        <v>27320</v>
      </c>
      <c r="AD34" s="18">
        <v>21360</v>
      </c>
    </row>
    <row r="35" spans="1:30">
      <c r="A35" s="36" t="s">
        <v>135</v>
      </c>
      <c r="B35" s="12" t="s">
        <v>59</v>
      </c>
      <c r="C35" s="42">
        <v>29332</v>
      </c>
      <c r="D35" s="42"/>
      <c r="E35" s="42"/>
      <c r="F35" s="18">
        <v>28730</v>
      </c>
      <c r="I35" s="18">
        <v>29070</v>
      </c>
      <c r="L35" s="18">
        <v>24650</v>
      </c>
      <c r="O35" s="18">
        <v>42670</v>
      </c>
      <c r="R35" s="18">
        <v>40545</v>
      </c>
      <c r="U35" s="18">
        <v>37812</v>
      </c>
      <c r="X35" s="18">
        <v>39950</v>
      </c>
      <c r="Y35" s="18">
        <v>1</v>
      </c>
      <c r="Z35" s="18">
        <f>+Y35/X35*1000000</f>
        <v>25.031289111389235</v>
      </c>
      <c r="AA35" s="18">
        <v>44370</v>
      </c>
      <c r="AD35" s="18">
        <v>45305</v>
      </c>
    </row>
    <row r="36" spans="1:30">
      <c r="A36" s="62" t="s">
        <v>269</v>
      </c>
      <c r="B36" s="12" t="s">
        <v>270</v>
      </c>
      <c r="C36" s="42"/>
      <c r="D36" s="42"/>
      <c r="E36" s="42"/>
      <c r="R36" s="18">
        <f>4+16</f>
        <v>20</v>
      </c>
      <c r="U36" s="18">
        <f>7+14+2</f>
        <v>23</v>
      </c>
      <c r="X36" s="18">
        <f>7+22+7</f>
        <v>36</v>
      </c>
      <c r="AA36" s="18">
        <f>10+18+46</f>
        <v>74</v>
      </c>
      <c r="AD36" s="18">
        <f>6+17+1+14+36</f>
        <v>74</v>
      </c>
    </row>
    <row r="37" spans="1:30">
      <c r="A37" s="62" t="s">
        <v>298</v>
      </c>
      <c r="B37" s="12" t="s">
        <v>299</v>
      </c>
      <c r="C37" s="42"/>
      <c r="D37" s="42"/>
      <c r="E37" s="42"/>
      <c r="AD37" s="18">
        <v>400</v>
      </c>
    </row>
    <row r="38" spans="1:30">
      <c r="A38" s="18" t="s">
        <v>80</v>
      </c>
      <c r="B38" s="12" t="s">
        <v>2</v>
      </c>
      <c r="C38" s="42"/>
      <c r="D38" s="42"/>
      <c r="E38" s="42"/>
      <c r="I38" s="18">
        <v>5</v>
      </c>
      <c r="O38" s="18">
        <v>200</v>
      </c>
      <c r="R38" s="18">
        <f>200+20</f>
        <v>220</v>
      </c>
      <c r="U38" s="18">
        <f>54+51</f>
        <v>105</v>
      </c>
      <c r="X38" s="18">
        <f>203+46+10</f>
        <v>259</v>
      </c>
    </row>
    <row r="39" spans="1:30">
      <c r="A39" s="18" t="s">
        <v>164</v>
      </c>
      <c r="B39" s="12" t="s">
        <v>165</v>
      </c>
      <c r="C39" s="42"/>
      <c r="D39" s="17"/>
      <c r="E39" s="46"/>
      <c r="F39" s="18">
        <v>96</v>
      </c>
      <c r="G39" s="18">
        <v>2</v>
      </c>
      <c r="H39" s="18" t="s">
        <v>245</v>
      </c>
      <c r="L39" s="18">
        <v>150</v>
      </c>
      <c r="O39" s="18">
        <f>306+60+35</f>
        <v>401</v>
      </c>
      <c r="R39" s="18">
        <v>400</v>
      </c>
      <c r="U39" s="18">
        <v>20</v>
      </c>
      <c r="X39" s="18">
        <f>22+60</f>
        <v>82</v>
      </c>
      <c r="AA39" s="18">
        <v>380</v>
      </c>
      <c r="AD39" s="18">
        <f>126+54</f>
        <v>180</v>
      </c>
    </row>
    <row r="40" spans="1:30">
      <c r="A40" s="18" t="s">
        <v>81</v>
      </c>
      <c r="B40" s="12" t="s">
        <v>28</v>
      </c>
      <c r="C40" s="42"/>
      <c r="D40" s="42"/>
      <c r="E40" s="42"/>
    </row>
    <row r="41" spans="1:30">
      <c r="A41" s="51" t="s">
        <v>213</v>
      </c>
      <c r="B41" s="12" t="s">
        <v>214</v>
      </c>
      <c r="C41" s="42">
        <v>155</v>
      </c>
      <c r="D41" s="42"/>
      <c r="E41" s="42"/>
      <c r="F41" s="18">
        <v>2</v>
      </c>
      <c r="I41" s="18">
        <v>138</v>
      </c>
      <c r="L41" s="18">
        <v>98</v>
      </c>
      <c r="U41" s="18">
        <v>48</v>
      </c>
      <c r="X41" s="18">
        <v>64</v>
      </c>
      <c r="AA41" s="18">
        <v>267</v>
      </c>
      <c r="AD41" s="18">
        <v>102</v>
      </c>
    </row>
    <row r="42" spans="1:30">
      <c r="A42" s="18" t="s">
        <v>215</v>
      </c>
      <c r="B42" s="12" t="s">
        <v>220</v>
      </c>
      <c r="C42" s="42"/>
      <c r="D42" s="42"/>
      <c r="E42" s="42"/>
    </row>
    <row r="43" spans="1:30" hidden="1">
      <c r="A43" s="18" t="s">
        <v>248</v>
      </c>
      <c r="B43" s="12" t="s">
        <v>230</v>
      </c>
      <c r="C43" s="42"/>
      <c r="D43" s="42"/>
      <c r="E43" s="42"/>
      <c r="I43" s="18">
        <f>2+10+1</f>
        <v>13</v>
      </c>
      <c r="L43" s="18">
        <v>2</v>
      </c>
    </row>
    <row r="44" spans="1:30">
      <c r="A44" s="18" t="s">
        <v>126</v>
      </c>
      <c r="B44" s="12" t="s">
        <v>127</v>
      </c>
      <c r="C44" s="42">
        <f>22+5+38369+1</f>
        <v>38397</v>
      </c>
      <c r="D44" s="42"/>
      <c r="E44" s="42"/>
      <c r="F44" s="18">
        <f>28+50+22286</f>
        <v>22364</v>
      </c>
      <c r="I44" s="18">
        <v>28397</v>
      </c>
      <c r="L44" s="18">
        <v>31725</v>
      </c>
      <c r="O44" s="18">
        <v>23552</v>
      </c>
      <c r="R44" s="18">
        <v>34324</v>
      </c>
      <c r="U44" s="18">
        <f>7+14680</f>
        <v>14687</v>
      </c>
      <c r="X44" s="18">
        <f>16+55+17834</f>
        <v>17905</v>
      </c>
      <c r="AA44" s="18">
        <f>48+25962</f>
        <v>26010</v>
      </c>
      <c r="AD44" s="18">
        <v>22556</v>
      </c>
    </row>
    <row r="45" spans="1:30">
      <c r="A45" s="18" t="s">
        <v>82</v>
      </c>
      <c r="B45" s="12" t="s">
        <v>36</v>
      </c>
      <c r="C45" s="42">
        <v>161301</v>
      </c>
      <c r="D45" s="42"/>
      <c r="E45" s="42"/>
      <c r="F45" s="18">
        <v>180898</v>
      </c>
      <c r="I45" s="18">
        <v>309677</v>
      </c>
      <c r="L45" s="18">
        <v>242338</v>
      </c>
      <c r="O45" s="18">
        <v>254666</v>
      </c>
      <c r="R45" s="18">
        <v>318504</v>
      </c>
      <c r="U45" s="18">
        <v>104169</v>
      </c>
      <c r="X45" s="18">
        <v>306975</v>
      </c>
      <c r="AA45" s="18">
        <v>199565</v>
      </c>
      <c r="AD45" s="18">
        <v>213668</v>
      </c>
    </row>
    <row r="46" spans="1:30">
      <c r="B46" s="12" t="s">
        <v>255</v>
      </c>
      <c r="C46" s="42"/>
      <c r="D46" s="42"/>
      <c r="E46" s="42"/>
      <c r="L46" s="18">
        <v>11000</v>
      </c>
      <c r="O46" s="18">
        <v>9003</v>
      </c>
      <c r="U46" s="18">
        <v>25</v>
      </c>
    </row>
    <row r="47" spans="1:30">
      <c r="A47" s="18" t="s">
        <v>83</v>
      </c>
      <c r="B47" s="12" t="s">
        <v>19</v>
      </c>
      <c r="C47" s="42"/>
      <c r="D47" s="42"/>
      <c r="E47" s="42"/>
      <c r="I47" s="18">
        <v>50</v>
      </c>
      <c r="AA47" s="18">
        <f>30+50</f>
        <v>80</v>
      </c>
    </row>
    <row r="48" spans="1:30">
      <c r="A48" s="18" t="s">
        <v>168</v>
      </c>
      <c r="B48" s="12" t="s">
        <v>44</v>
      </c>
      <c r="C48" s="42">
        <f>420+4032+21</f>
        <v>4473</v>
      </c>
      <c r="D48" s="42"/>
      <c r="E48" s="42"/>
      <c r="F48" s="18">
        <v>14760</v>
      </c>
      <c r="I48" s="18">
        <f>5472+38+21462+22638</f>
        <v>49610</v>
      </c>
      <c r="O48" s="18">
        <v>21932</v>
      </c>
      <c r="R48" s="18">
        <f>162+2</f>
        <v>164</v>
      </c>
      <c r="AA48" s="18">
        <v>5</v>
      </c>
    </row>
    <row r="49" spans="1:30">
      <c r="A49" s="18" t="s">
        <v>166</v>
      </c>
      <c r="B49" s="12" t="s">
        <v>256</v>
      </c>
      <c r="C49" s="42">
        <v>21672</v>
      </c>
      <c r="D49" s="42"/>
      <c r="E49" s="42"/>
      <c r="F49" s="18">
        <v>16464</v>
      </c>
      <c r="L49" s="18">
        <v>80</v>
      </c>
      <c r="O49" s="18">
        <v>38640</v>
      </c>
    </row>
    <row r="50" spans="1:30">
      <c r="A50" s="18" t="s">
        <v>257</v>
      </c>
      <c r="B50" s="12" t="s">
        <v>258</v>
      </c>
      <c r="C50" s="42"/>
      <c r="D50" s="42"/>
      <c r="E50" s="42"/>
      <c r="R50" s="18">
        <v>1656</v>
      </c>
      <c r="U50" s="18">
        <v>3975</v>
      </c>
      <c r="X50" s="18">
        <v>8025</v>
      </c>
      <c r="AA50" s="18">
        <v>7920</v>
      </c>
      <c r="AD50" s="18">
        <v>8017</v>
      </c>
    </row>
    <row r="51" spans="1:30">
      <c r="A51" s="18" t="s">
        <v>167</v>
      </c>
      <c r="B51" s="12" t="s">
        <v>169</v>
      </c>
      <c r="C51" s="42">
        <v>10872</v>
      </c>
      <c r="D51" s="42"/>
      <c r="E51" s="42"/>
      <c r="F51" s="18">
        <v>8652</v>
      </c>
      <c r="L51" s="18">
        <v>108</v>
      </c>
      <c r="O51" s="18">
        <v>7</v>
      </c>
      <c r="U51" s="18">
        <v>18239</v>
      </c>
    </row>
    <row r="52" spans="1:30">
      <c r="A52" s="18" t="s">
        <v>259</v>
      </c>
      <c r="B52" s="12" t="s">
        <v>30</v>
      </c>
      <c r="C52" s="42">
        <v>4500</v>
      </c>
      <c r="D52" s="42"/>
      <c r="E52" s="42"/>
      <c r="L52" s="18">
        <v>20161</v>
      </c>
      <c r="R52" s="18">
        <v>21546</v>
      </c>
      <c r="X52" s="18">
        <v>26040</v>
      </c>
      <c r="AA52" s="18">
        <v>24870</v>
      </c>
      <c r="AD52" s="18">
        <v>29295</v>
      </c>
    </row>
    <row r="53" spans="1:30">
      <c r="A53" s="18" t="s">
        <v>260</v>
      </c>
      <c r="B53" s="12" t="s">
        <v>261</v>
      </c>
      <c r="C53" s="42"/>
      <c r="D53" s="42"/>
      <c r="E53" s="42"/>
      <c r="L53" s="18">
        <v>26208</v>
      </c>
      <c r="R53" s="18">
        <v>45990</v>
      </c>
      <c r="U53" s="18">
        <v>23058</v>
      </c>
      <c r="X53" s="18">
        <v>42662</v>
      </c>
      <c r="AA53" s="18">
        <v>42588</v>
      </c>
      <c r="AD53" s="18">
        <v>43596</v>
      </c>
    </row>
    <row r="54" spans="1:30">
      <c r="A54" s="18" t="s">
        <v>84</v>
      </c>
      <c r="B54" s="12" t="s">
        <v>225</v>
      </c>
      <c r="C54" s="42">
        <v>34856</v>
      </c>
      <c r="D54" s="42"/>
      <c r="E54" s="42"/>
      <c r="F54" s="18">
        <v>28224</v>
      </c>
      <c r="I54" s="18">
        <v>27130</v>
      </c>
      <c r="L54" s="18">
        <v>19440</v>
      </c>
      <c r="O54" s="18">
        <v>14580</v>
      </c>
      <c r="R54" s="18">
        <v>23623</v>
      </c>
      <c r="U54" s="18">
        <v>18480</v>
      </c>
      <c r="X54" s="18">
        <f>23070+4</f>
        <v>23074</v>
      </c>
      <c r="AA54" s="18">
        <v>27696</v>
      </c>
      <c r="AD54" s="18">
        <v>25704</v>
      </c>
    </row>
    <row r="55" spans="1:30">
      <c r="A55" s="18" t="s">
        <v>85</v>
      </c>
      <c r="B55" s="12" t="s">
        <v>18</v>
      </c>
      <c r="C55" s="42"/>
      <c r="D55" s="42"/>
      <c r="E55" s="42"/>
    </row>
    <row r="56" spans="1:30">
      <c r="A56" s="18" t="s">
        <v>128</v>
      </c>
      <c r="B56" s="12" t="s">
        <v>129</v>
      </c>
      <c r="C56" s="42"/>
      <c r="D56" s="42"/>
      <c r="E56" s="42"/>
    </row>
    <row r="57" spans="1:30">
      <c r="A57" s="18" t="s">
        <v>86</v>
      </c>
      <c r="B57" s="12" t="s">
        <v>50</v>
      </c>
      <c r="C57" s="42"/>
      <c r="D57" s="42"/>
      <c r="E57" s="42"/>
      <c r="F57" s="18">
        <v>6</v>
      </c>
    </row>
    <row r="58" spans="1:30">
      <c r="A58" s="18" t="s">
        <v>87</v>
      </c>
      <c r="B58" s="12" t="s">
        <v>39</v>
      </c>
      <c r="C58" s="42"/>
      <c r="D58" s="42"/>
      <c r="E58" s="42"/>
    </row>
    <row r="59" spans="1:30">
      <c r="A59" s="18" t="s">
        <v>88</v>
      </c>
      <c r="B59" s="12" t="s">
        <v>8</v>
      </c>
      <c r="C59" s="42"/>
      <c r="D59" s="42"/>
      <c r="E59" s="42"/>
    </row>
    <row r="60" spans="1:30">
      <c r="A60" s="18" t="s">
        <v>89</v>
      </c>
      <c r="B60" s="41" t="s">
        <v>23</v>
      </c>
      <c r="C60" s="42">
        <v>19170</v>
      </c>
      <c r="D60" s="42"/>
      <c r="E60" s="42"/>
      <c r="F60" s="18">
        <v>18036</v>
      </c>
      <c r="I60" s="18">
        <f>170+25326</f>
        <v>25496</v>
      </c>
      <c r="L60" s="18">
        <f>86+17118+132</f>
        <v>17336</v>
      </c>
      <c r="O60" s="18">
        <f>4320+15066</f>
        <v>19386</v>
      </c>
      <c r="R60" s="18">
        <f>48+486+10860</f>
        <v>11394</v>
      </c>
      <c r="U60" s="18">
        <f>814+4+13335</f>
        <v>14153</v>
      </c>
      <c r="X60" s="18">
        <f>311+20172</f>
        <v>20483</v>
      </c>
      <c r="AA60" s="18">
        <f>2747+21942</f>
        <v>24689</v>
      </c>
      <c r="AD60" s="18">
        <f>5928+4468+23338</f>
        <v>33734</v>
      </c>
    </row>
    <row r="61" spans="1:30">
      <c r="A61" s="18" t="s">
        <v>90</v>
      </c>
      <c r="B61" s="12" t="s">
        <v>40</v>
      </c>
      <c r="C61" s="42"/>
      <c r="D61" s="42"/>
      <c r="E61" s="42"/>
    </row>
    <row r="62" spans="1:30">
      <c r="A62" s="18" t="s">
        <v>91</v>
      </c>
      <c r="B62" s="12" t="s">
        <v>35</v>
      </c>
      <c r="C62" s="42"/>
      <c r="D62" s="42"/>
      <c r="E62" s="42"/>
    </row>
    <row r="63" spans="1:30">
      <c r="A63" s="18" t="s">
        <v>92</v>
      </c>
      <c r="B63" s="12" t="s">
        <v>15</v>
      </c>
      <c r="C63" s="42">
        <v>10744</v>
      </c>
      <c r="D63" s="44"/>
      <c r="E63" s="44"/>
      <c r="F63" s="18">
        <v>12920</v>
      </c>
      <c r="I63" s="18">
        <v>11560</v>
      </c>
      <c r="L63" s="18">
        <v>11424</v>
      </c>
      <c r="O63" s="18">
        <v>9656</v>
      </c>
      <c r="R63" s="18">
        <v>13056</v>
      </c>
      <c r="U63" s="18">
        <v>3944</v>
      </c>
      <c r="X63" s="18">
        <v>12367</v>
      </c>
      <c r="AA63" s="18">
        <v>14688</v>
      </c>
      <c r="AD63" s="18">
        <v>16629</v>
      </c>
    </row>
    <row r="64" spans="1:30">
      <c r="A64" s="18" t="s">
        <v>94</v>
      </c>
      <c r="B64" s="12" t="s">
        <v>14</v>
      </c>
      <c r="C64" s="42">
        <v>800</v>
      </c>
      <c r="D64" s="42"/>
      <c r="E64" s="42"/>
      <c r="F64" s="18">
        <v>800</v>
      </c>
      <c r="I64" s="18">
        <v>430</v>
      </c>
      <c r="L64" s="18">
        <v>400</v>
      </c>
      <c r="O64" s="18">
        <v>1200</v>
      </c>
      <c r="R64" s="18">
        <v>800</v>
      </c>
    </row>
    <row r="65" spans="1:30">
      <c r="A65" s="18" t="s">
        <v>95</v>
      </c>
      <c r="B65" s="4" t="s">
        <v>123</v>
      </c>
      <c r="C65" s="42"/>
      <c r="D65" s="44"/>
      <c r="E65" s="44"/>
    </row>
    <row r="66" spans="1:30">
      <c r="A66" s="18" t="s">
        <v>116</v>
      </c>
      <c r="B66" s="12" t="s">
        <v>41</v>
      </c>
      <c r="C66" s="42"/>
      <c r="D66" s="42"/>
      <c r="E66" s="42"/>
    </row>
    <row r="67" spans="1:30">
      <c r="A67" s="18" t="s">
        <v>96</v>
      </c>
      <c r="B67" s="12" t="s">
        <v>141</v>
      </c>
      <c r="C67" s="42"/>
      <c r="D67" s="42"/>
      <c r="E67" s="42"/>
      <c r="L67" s="18">
        <f>76+70</f>
        <v>146</v>
      </c>
      <c r="O67" s="18">
        <v>10</v>
      </c>
      <c r="AD67" s="18">
        <v>6</v>
      </c>
    </row>
    <row r="68" spans="1:30">
      <c r="A68" s="18" t="s">
        <v>130</v>
      </c>
      <c r="B68" s="12" t="s">
        <v>142</v>
      </c>
      <c r="C68" s="42">
        <v>125584</v>
      </c>
      <c r="D68" s="17"/>
      <c r="E68" s="17"/>
      <c r="F68" s="18">
        <v>119596</v>
      </c>
      <c r="I68" s="18">
        <v>145774</v>
      </c>
      <c r="L68" s="18">
        <v>120784</v>
      </c>
      <c r="O68" s="18">
        <v>138372</v>
      </c>
      <c r="R68" s="18">
        <f>173506+3840</f>
        <v>177346</v>
      </c>
      <c r="U68" s="18">
        <f>120914+8640</f>
        <v>129554</v>
      </c>
      <c r="X68" s="18">
        <f>110989+18960</f>
        <v>129949</v>
      </c>
      <c r="AA68" s="18">
        <f>124290+14540</f>
        <v>138830</v>
      </c>
      <c r="AD68" s="18">
        <f>107418+14880</f>
        <v>122298</v>
      </c>
    </row>
    <row r="69" spans="1:30">
      <c r="A69" s="18" t="s">
        <v>93</v>
      </c>
      <c r="B69" s="12" t="s">
        <v>24</v>
      </c>
      <c r="C69" s="42"/>
      <c r="D69" s="42"/>
      <c r="E69" s="42"/>
    </row>
    <row r="70" spans="1:30">
      <c r="A70" s="18" t="s">
        <v>156</v>
      </c>
      <c r="B70" s="12" t="s">
        <v>157</v>
      </c>
      <c r="C70" s="42"/>
      <c r="D70" s="42"/>
      <c r="E70" s="42"/>
      <c r="I70" s="18">
        <v>6</v>
      </c>
    </row>
    <row r="71" spans="1:30">
      <c r="A71" s="51" t="s">
        <v>197</v>
      </c>
      <c r="B71" s="12" t="s">
        <v>199</v>
      </c>
      <c r="C71" s="42"/>
      <c r="D71" s="42"/>
      <c r="E71" s="42"/>
      <c r="L71" s="18">
        <v>1500</v>
      </c>
      <c r="O71" s="18">
        <v>3000</v>
      </c>
      <c r="R71" s="18">
        <v>3000</v>
      </c>
      <c r="U71" s="18">
        <f>68+7500</f>
        <v>7568</v>
      </c>
      <c r="X71" s="18">
        <v>1500</v>
      </c>
      <c r="AA71" s="18">
        <v>3000</v>
      </c>
      <c r="AD71" s="18">
        <v>3150</v>
      </c>
    </row>
    <row r="72" spans="1:30">
      <c r="A72" s="51" t="s">
        <v>198</v>
      </c>
      <c r="B72" s="12" t="s">
        <v>200</v>
      </c>
      <c r="C72" s="42"/>
      <c r="D72" s="42"/>
      <c r="E72" s="42"/>
      <c r="F72" s="18">
        <v>10401</v>
      </c>
      <c r="L72" s="18">
        <v>9201</v>
      </c>
      <c r="AA72" s="18">
        <v>7201</v>
      </c>
    </row>
    <row r="73" spans="1:30">
      <c r="A73" s="18" t="s">
        <v>97</v>
      </c>
      <c r="B73" s="12" t="s">
        <v>16</v>
      </c>
      <c r="C73" s="42"/>
      <c r="D73" s="42"/>
      <c r="E73" s="42"/>
    </row>
    <row r="74" spans="1:30">
      <c r="A74" s="18" t="s">
        <v>229</v>
      </c>
      <c r="B74" s="12" t="s">
        <v>230</v>
      </c>
      <c r="C74" s="42">
        <v>78</v>
      </c>
      <c r="D74" s="42"/>
      <c r="E74" s="42"/>
      <c r="F74" s="18">
        <f>62+29</f>
        <v>91</v>
      </c>
      <c r="I74" s="18">
        <f>153+1</f>
        <v>154</v>
      </c>
      <c r="L74" s="18">
        <f>7+2174</f>
        <v>2181</v>
      </c>
      <c r="O74" s="18">
        <f>4500+3512</f>
        <v>8012</v>
      </c>
      <c r="R74" s="18">
        <f>1+151+7135</f>
        <v>7287</v>
      </c>
      <c r="U74" s="18">
        <f>41+10411</f>
        <v>10452</v>
      </c>
      <c r="X74" s="18">
        <f>2+22146</f>
        <v>22148</v>
      </c>
      <c r="AA74" s="18">
        <f>2+15390</f>
        <v>15392</v>
      </c>
      <c r="AD74" s="18">
        <v>20811</v>
      </c>
    </row>
    <row r="75" spans="1:30">
      <c r="A75" s="18" t="s">
        <v>237</v>
      </c>
      <c r="B75" s="12" t="s">
        <v>238</v>
      </c>
      <c r="C75" s="42"/>
      <c r="D75" s="42"/>
      <c r="E75" s="42"/>
      <c r="F75" s="18">
        <v>5050</v>
      </c>
    </row>
    <row r="76" spans="1:30">
      <c r="A76" s="18" t="s">
        <v>98</v>
      </c>
      <c r="B76" s="12" t="s">
        <v>51</v>
      </c>
      <c r="C76" s="42"/>
      <c r="D76" s="42"/>
      <c r="E76" s="42"/>
    </row>
    <row r="77" spans="1:30">
      <c r="A77" s="18" t="s">
        <v>99</v>
      </c>
      <c r="B77" s="12" t="s">
        <v>55</v>
      </c>
      <c r="C77" s="42"/>
      <c r="D77" s="42"/>
      <c r="E77" s="42"/>
    </row>
    <row r="78" spans="1:30">
      <c r="A78" s="18" t="s">
        <v>131</v>
      </c>
      <c r="B78" s="12" t="s">
        <v>132</v>
      </c>
      <c r="C78" s="42"/>
      <c r="D78" s="42"/>
      <c r="E78" s="42"/>
    </row>
    <row r="79" spans="1:30">
      <c r="A79" s="18" t="s">
        <v>109</v>
      </c>
      <c r="B79" s="12" t="s">
        <v>42</v>
      </c>
      <c r="C79" s="42"/>
      <c r="D79" s="42"/>
      <c r="E79" s="42"/>
    </row>
    <row r="80" spans="1:30">
      <c r="A80" s="18" t="s">
        <v>194</v>
      </c>
      <c r="B80" s="12" t="s">
        <v>239</v>
      </c>
      <c r="C80" s="42"/>
      <c r="D80" s="42"/>
      <c r="E80" s="42"/>
      <c r="F80" s="18">
        <v>1500</v>
      </c>
      <c r="R80" s="18">
        <v>2500</v>
      </c>
      <c r="X80" s="18">
        <v>2000</v>
      </c>
      <c r="AA80" s="18">
        <v>3000</v>
      </c>
    </row>
    <row r="81" spans="1:30">
      <c r="A81" s="18" t="s">
        <v>158</v>
      </c>
      <c r="B81" s="12" t="s">
        <v>159</v>
      </c>
      <c r="C81" s="42"/>
      <c r="D81" s="42"/>
      <c r="E81" s="42"/>
    </row>
    <row r="82" spans="1:30">
      <c r="A82" s="18" t="s">
        <v>145</v>
      </c>
      <c r="B82" s="12" t="s">
        <v>57</v>
      </c>
      <c r="C82" s="42"/>
      <c r="D82" s="42"/>
      <c r="E82" s="42"/>
      <c r="F82" s="18">
        <v>800</v>
      </c>
      <c r="R82" s="18">
        <v>800</v>
      </c>
    </row>
    <row r="83" spans="1:30">
      <c r="A83" s="18" t="s">
        <v>100</v>
      </c>
      <c r="B83" s="12" t="s">
        <v>27</v>
      </c>
      <c r="C83" s="42">
        <f>100+37440</f>
        <v>37540</v>
      </c>
      <c r="D83" s="42"/>
      <c r="E83" s="42"/>
      <c r="F83" s="18">
        <v>44160</v>
      </c>
      <c r="I83" s="18">
        <f>37440+60</f>
        <v>37500</v>
      </c>
      <c r="L83" s="18">
        <v>52800</v>
      </c>
      <c r="O83" s="18">
        <v>52800</v>
      </c>
      <c r="R83" s="18">
        <v>35610</v>
      </c>
      <c r="U83" s="18">
        <v>59520</v>
      </c>
      <c r="X83" s="18">
        <v>40800</v>
      </c>
      <c r="Y83" s="18">
        <v>3</v>
      </c>
      <c r="Z83" s="18">
        <f>+Y83/X83*1000000</f>
        <v>73.52941176470587</v>
      </c>
      <c r="AA83" s="18">
        <v>50880</v>
      </c>
      <c r="AD83" s="18">
        <v>28800</v>
      </c>
    </row>
    <row r="84" spans="1:30">
      <c r="A84" s="18" t="s">
        <v>117</v>
      </c>
      <c r="B84" s="12" t="s">
        <v>62</v>
      </c>
      <c r="C84" s="42">
        <v>350</v>
      </c>
      <c r="D84" s="42"/>
      <c r="E84" s="42"/>
      <c r="F84" s="18">
        <v>15000</v>
      </c>
      <c r="I84" s="18">
        <v>22000</v>
      </c>
      <c r="L84" s="18">
        <f>12000+1</f>
        <v>12001</v>
      </c>
      <c r="O84" s="18">
        <v>40000</v>
      </c>
      <c r="R84" s="18">
        <v>20000</v>
      </c>
      <c r="U84" s="18">
        <v>20001</v>
      </c>
      <c r="X84" s="18">
        <v>19500</v>
      </c>
      <c r="AA84" s="18">
        <v>35000</v>
      </c>
      <c r="AD84" s="18">
        <v>40000</v>
      </c>
    </row>
    <row r="85" spans="1:30">
      <c r="A85" s="18" t="s">
        <v>101</v>
      </c>
      <c r="B85" s="12" t="s">
        <v>22</v>
      </c>
      <c r="C85" s="42">
        <v>18112</v>
      </c>
      <c r="D85" s="42"/>
      <c r="E85" s="42"/>
      <c r="F85" s="18">
        <v>10000</v>
      </c>
      <c r="I85" s="18">
        <v>20370</v>
      </c>
      <c r="L85" s="18">
        <v>10840</v>
      </c>
      <c r="U85" s="18">
        <v>1000</v>
      </c>
      <c r="AA85" s="18">
        <v>1000</v>
      </c>
    </row>
    <row r="86" spans="1:30">
      <c r="A86" s="18" t="s">
        <v>207</v>
      </c>
      <c r="B86" s="12" t="s">
        <v>208</v>
      </c>
      <c r="C86" s="42"/>
      <c r="D86" s="42"/>
      <c r="E86" s="42"/>
    </row>
    <row r="87" spans="1:30">
      <c r="A87" s="18" t="s">
        <v>190</v>
      </c>
      <c r="B87" s="12" t="s">
        <v>191</v>
      </c>
      <c r="C87" s="42"/>
      <c r="D87" s="42"/>
      <c r="E87" s="42"/>
      <c r="O87" s="18">
        <v>100</v>
      </c>
      <c r="X87" s="18">
        <v>100</v>
      </c>
      <c r="AD87" s="18">
        <v>100</v>
      </c>
    </row>
    <row r="88" spans="1:30" ht="14.25" customHeight="1">
      <c r="A88" s="18" t="s">
        <v>118</v>
      </c>
      <c r="B88" s="12" t="s">
        <v>60</v>
      </c>
      <c r="C88" s="42"/>
      <c r="D88" s="42"/>
      <c r="E88" s="42"/>
    </row>
    <row r="89" spans="1:30" ht="14.25" customHeight="1">
      <c r="A89" s="18" t="s">
        <v>187</v>
      </c>
      <c r="B89" s="12" t="s">
        <v>188</v>
      </c>
      <c r="C89" s="42"/>
      <c r="D89" s="42"/>
      <c r="E89" s="42"/>
    </row>
    <row r="90" spans="1:30">
      <c r="A90" s="18" t="s">
        <v>102</v>
      </c>
      <c r="B90" s="12" t="s">
        <v>3</v>
      </c>
      <c r="C90" s="42"/>
      <c r="D90" s="42"/>
      <c r="E90" s="42"/>
    </row>
    <row r="91" spans="1:30">
      <c r="A91" s="18" t="s">
        <v>119</v>
      </c>
      <c r="B91" s="12" t="s">
        <v>170</v>
      </c>
      <c r="C91" s="42"/>
      <c r="D91" s="42"/>
      <c r="E91" s="42"/>
      <c r="O91" s="18">
        <v>50</v>
      </c>
      <c r="R91" s="18">
        <v>100</v>
      </c>
      <c r="X91" s="18">
        <f>125+111050+26140</f>
        <v>137315</v>
      </c>
      <c r="AA91" s="18">
        <f>115450+34130</f>
        <v>149580</v>
      </c>
    </row>
    <row r="92" spans="1:30">
      <c r="A92" s="18" t="s">
        <v>120</v>
      </c>
      <c r="B92" s="12" t="s">
        <v>121</v>
      </c>
      <c r="C92" s="42">
        <f>2+16+1+63+12265+18+112</f>
        <v>12477</v>
      </c>
      <c r="D92" s="42"/>
      <c r="E92" s="42"/>
      <c r="L92" s="18">
        <f>1+5+1+400+12+3+4+15</f>
        <v>441</v>
      </c>
      <c r="O92" s="18">
        <f>5+5+42+10</f>
        <v>62</v>
      </c>
      <c r="AA92" s="18">
        <f>400+1+7</f>
        <v>408</v>
      </c>
    </row>
    <row r="93" spans="1:30">
      <c r="A93" s="18" t="s">
        <v>133</v>
      </c>
      <c r="B93" s="12" t="s">
        <v>134</v>
      </c>
      <c r="C93" s="42"/>
      <c r="D93" s="42"/>
      <c r="E93" s="42"/>
      <c r="F93" s="18">
        <v>313</v>
      </c>
      <c r="I93" s="18">
        <v>46</v>
      </c>
      <c r="L93" s="18">
        <v>530</v>
      </c>
      <c r="O93" s="18">
        <v>1022</v>
      </c>
      <c r="R93" s="18">
        <v>256</v>
      </c>
      <c r="U93" s="18">
        <v>596</v>
      </c>
      <c r="X93" s="18">
        <v>773</v>
      </c>
      <c r="AA93" s="18">
        <v>238</v>
      </c>
      <c r="AD93" s="18">
        <v>330</v>
      </c>
    </row>
    <row r="94" spans="1:30">
      <c r="A94" s="18" t="s">
        <v>231</v>
      </c>
      <c r="B94" s="12" t="s">
        <v>274</v>
      </c>
      <c r="C94" s="42">
        <v>13575</v>
      </c>
      <c r="D94" s="42"/>
      <c r="E94" s="42"/>
      <c r="F94" s="18">
        <v>15230</v>
      </c>
      <c r="I94" s="18">
        <v>26260</v>
      </c>
      <c r="L94" s="18">
        <v>23125</v>
      </c>
      <c r="O94" s="18">
        <v>22465</v>
      </c>
      <c r="R94" s="18">
        <v>26177</v>
      </c>
      <c r="U94" s="18">
        <v>18440</v>
      </c>
      <c r="X94" s="18">
        <v>24960</v>
      </c>
      <c r="AA94" s="18">
        <v>26305</v>
      </c>
      <c r="AD94" s="18">
        <v>24630</v>
      </c>
    </row>
    <row r="95" spans="1:30">
      <c r="A95" s="18" t="s">
        <v>152</v>
      </c>
      <c r="B95" s="12" t="s">
        <v>147</v>
      </c>
      <c r="C95" s="42">
        <v>12000</v>
      </c>
      <c r="D95" s="42"/>
      <c r="E95" s="42"/>
      <c r="F95" s="18">
        <v>13200</v>
      </c>
      <c r="I95" s="18">
        <v>18000</v>
      </c>
      <c r="L95" s="18">
        <v>17538</v>
      </c>
      <c r="O95" s="18">
        <v>15500</v>
      </c>
      <c r="R95" s="18">
        <v>11474</v>
      </c>
      <c r="U95" s="18">
        <v>6201</v>
      </c>
      <c r="X95" s="18">
        <v>12000</v>
      </c>
      <c r="AA95" s="18">
        <v>12000</v>
      </c>
      <c r="AD95" s="18">
        <v>12000</v>
      </c>
    </row>
    <row r="96" spans="1:30">
      <c r="A96" s="18" t="s">
        <v>216</v>
      </c>
      <c r="B96" s="12" t="s">
        <v>217</v>
      </c>
      <c r="C96" s="42"/>
      <c r="D96" s="42"/>
      <c r="E96" s="42"/>
      <c r="X96" s="18">
        <v>8</v>
      </c>
      <c r="AD96" s="18">
        <v>16</v>
      </c>
    </row>
    <row r="97" spans="1:38">
      <c r="A97" s="18" t="s">
        <v>103</v>
      </c>
      <c r="B97" s="12" t="s">
        <v>48</v>
      </c>
      <c r="C97" s="42"/>
      <c r="D97" s="42"/>
      <c r="E97" s="42"/>
    </row>
    <row r="98" spans="1:38">
      <c r="A98" s="18" t="s">
        <v>122</v>
      </c>
      <c r="B98" s="12" t="s">
        <v>58</v>
      </c>
      <c r="C98" s="42"/>
      <c r="D98" s="42"/>
      <c r="E98" s="42"/>
      <c r="F98" s="18">
        <v>25</v>
      </c>
      <c r="I98" s="18">
        <v>10</v>
      </c>
      <c r="O98" s="18">
        <v>25</v>
      </c>
      <c r="U98" s="18">
        <v>50</v>
      </c>
      <c r="X98" s="18">
        <v>13</v>
      </c>
    </row>
    <row r="99" spans="1:38">
      <c r="A99" s="18" t="s">
        <v>153</v>
      </c>
      <c r="B99" s="12" t="s">
        <v>21</v>
      </c>
      <c r="C99" s="42">
        <v>27674</v>
      </c>
      <c r="D99" s="42"/>
      <c r="E99" s="42"/>
      <c r="F99" s="18">
        <v>27400</v>
      </c>
      <c r="I99" s="18">
        <v>21032</v>
      </c>
      <c r="L99" s="18">
        <v>37000</v>
      </c>
      <c r="O99" s="18">
        <v>39665</v>
      </c>
      <c r="R99" s="18">
        <v>5634</v>
      </c>
      <c r="U99" s="18">
        <v>9000</v>
      </c>
      <c r="X99" s="18">
        <v>8000</v>
      </c>
      <c r="AA99" s="18">
        <v>26000</v>
      </c>
      <c r="AD99" s="18">
        <v>44000</v>
      </c>
    </row>
    <row r="100" spans="1:38">
      <c r="A100" s="18" t="s">
        <v>222</v>
      </c>
      <c r="B100" s="12" t="s">
        <v>249</v>
      </c>
      <c r="C100" s="42"/>
      <c r="D100" s="42"/>
      <c r="E100" s="42"/>
      <c r="I100" s="18">
        <v>500</v>
      </c>
      <c r="R100" s="18">
        <v>15</v>
      </c>
    </row>
    <row r="101" spans="1:38">
      <c r="A101" s="18" t="s">
        <v>111</v>
      </c>
      <c r="B101" s="12" t="s">
        <v>4</v>
      </c>
      <c r="C101" s="42">
        <v>19850</v>
      </c>
      <c r="D101" s="42"/>
      <c r="E101" s="42"/>
      <c r="F101" s="18">
        <v>141270</v>
      </c>
      <c r="I101" s="18">
        <v>144990</v>
      </c>
      <c r="L101" s="18">
        <v>204760</v>
      </c>
      <c r="O101" s="18">
        <v>102610</v>
      </c>
      <c r="R101" s="18">
        <v>92130</v>
      </c>
      <c r="U101" s="18">
        <v>86280</v>
      </c>
      <c r="AD101" s="18">
        <v>168425</v>
      </c>
    </row>
    <row r="102" spans="1:38">
      <c r="A102" s="18" t="s">
        <v>110</v>
      </c>
      <c r="B102" s="12" t="s">
        <v>43</v>
      </c>
      <c r="C102" s="42">
        <v>160300</v>
      </c>
      <c r="D102" s="42"/>
      <c r="E102" s="42"/>
      <c r="F102" s="18">
        <v>9700</v>
      </c>
      <c r="I102" s="18">
        <v>22020</v>
      </c>
      <c r="L102" s="18">
        <v>16920</v>
      </c>
      <c r="O102" s="18">
        <v>19500</v>
      </c>
      <c r="R102" s="18">
        <v>27300</v>
      </c>
      <c r="U102" s="18">
        <v>19100</v>
      </c>
      <c r="AD102" s="18">
        <v>25620</v>
      </c>
    </row>
    <row r="103" spans="1:38">
      <c r="A103" s="18" t="s">
        <v>192</v>
      </c>
      <c r="B103" s="12" t="s">
        <v>193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>
        <v>1000</v>
      </c>
      <c r="D104" s="42"/>
      <c r="E104" s="42"/>
      <c r="I104" s="18">
        <v>370</v>
      </c>
    </row>
    <row r="105" spans="1:38">
      <c r="A105" s="18" t="s">
        <v>112</v>
      </c>
      <c r="B105" s="12" t="s">
        <v>47</v>
      </c>
      <c r="C105" s="42">
        <v>10536</v>
      </c>
      <c r="D105" s="42"/>
      <c r="E105" s="42"/>
      <c r="I105" s="18">
        <v>560</v>
      </c>
      <c r="O105" s="18">
        <v>288</v>
      </c>
      <c r="U105" s="18">
        <v>288</v>
      </c>
      <c r="AA105" s="18">
        <v>180</v>
      </c>
    </row>
    <row r="106" spans="1:38">
      <c r="A106" s="18" t="s">
        <v>138</v>
      </c>
      <c r="B106" s="12" t="s">
        <v>63</v>
      </c>
      <c r="C106" s="42"/>
      <c r="D106" s="42"/>
      <c r="E106" s="42"/>
      <c r="F106" s="18">
        <v>7093</v>
      </c>
    </row>
    <row r="107" spans="1:38">
      <c r="A107" s="18" t="s">
        <v>104</v>
      </c>
      <c r="B107" s="12" t="s">
        <v>5</v>
      </c>
      <c r="C107" s="42">
        <v>710</v>
      </c>
      <c r="D107" s="42"/>
      <c r="E107" s="42"/>
      <c r="F107" s="18">
        <v>1500</v>
      </c>
      <c r="I107" s="18">
        <v>1325</v>
      </c>
      <c r="L107" s="18">
        <v>1130</v>
      </c>
      <c r="O107" s="18">
        <v>1180</v>
      </c>
      <c r="R107" s="18">
        <v>875</v>
      </c>
      <c r="U107" s="18">
        <v>1710</v>
      </c>
      <c r="X107" s="18">
        <v>790</v>
      </c>
      <c r="AA107" s="18">
        <v>555</v>
      </c>
      <c r="AD107" s="18">
        <f>195+24</f>
        <v>219</v>
      </c>
    </row>
    <row r="108" spans="1:38">
      <c r="A108" s="18" t="s">
        <v>196</v>
      </c>
      <c r="B108" s="6"/>
      <c r="C108" s="6">
        <f>84+100</f>
        <v>184</v>
      </c>
      <c r="D108" s="6"/>
      <c r="E108" s="6"/>
      <c r="F108" s="18">
        <f>30+3+1+15+93+2+4+28+8+1</f>
        <v>185</v>
      </c>
      <c r="I108" s="18">
        <f>20+4+60</f>
        <v>84</v>
      </c>
      <c r="L108" s="18">
        <f>6+60+160+6+1000</f>
        <v>1232</v>
      </c>
      <c r="O108" s="18">
        <f>2+54+76+5+2+6+1+15</f>
        <v>161</v>
      </c>
      <c r="R108" s="18">
        <f>3+10+82+11+10+24+200+11</f>
        <v>351</v>
      </c>
      <c r="U108" s="18">
        <v>1</v>
      </c>
      <c r="X108" s="18">
        <v>36</v>
      </c>
      <c r="AA108" s="18">
        <f>1+60+75+1</f>
        <v>137</v>
      </c>
      <c r="AD108" s="18">
        <f>2+5+1+7+60+6</f>
        <v>81</v>
      </c>
    </row>
    <row r="109" spans="1:38">
      <c r="B109" s="13" t="s">
        <v>64</v>
      </c>
      <c r="C109" s="14">
        <f>SUM(C3:C108)</f>
        <v>1149143</v>
      </c>
      <c r="D109" s="14">
        <f>SUM(D3:D107)</f>
        <v>0</v>
      </c>
      <c r="E109" s="27">
        <f>+D109/C109*1000000</f>
        <v>0</v>
      </c>
      <c r="F109" s="14">
        <f>SUM(F3:F108)</f>
        <v>1173886</v>
      </c>
      <c r="G109" s="14">
        <f>SUM(G3:G107)</f>
        <v>2</v>
      </c>
      <c r="H109" s="27">
        <f>+G109/F109*1000000</f>
        <v>1.7037429528932111</v>
      </c>
      <c r="I109" s="14">
        <f>SUM(I3:I108)</f>
        <v>1496784</v>
      </c>
      <c r="J109" s="14">
        <f>SUM(J3:J107)</f>
        <v>0</v>
      </c>
      <c r="K109" s="27">
        <f>+J109/I109*1000000</f>
        <v>0</v>
      </c>
      <c r="L109" s="14">
        <f>SUM(L3:L108)</f>
        <v>1414456</v>
      </c>
      <c r="M109" s="14">
        <f>SUM(M3:M107)</f>
        <v>0</v>
      </c>
      <c r="N109" s="27">
        <f>+M109/L109*1000000</f>
        <v>0</v>
      </c>
      <c r="O109" s="14">
        <f>SUM(O3:O108)</f>
        <v>1368465</v>
      </c>
      <c r="P109" s="14">
        <f>SUM(P3:P107)</f>
        <v>0</v>
      </c>
      <c r="Q109" s="27">
        <f>+P109/O109*1000000</f>
        <v>0</v>
      </c>
      <c r="R109" s="14">
        <f>SUM(R3:R108)</f>
        <v>1466625</v>
      </c>
      <c r="S109" s="14">
        <f>SUM(S3:S107)</f>
        <v>0</v>
      </c>
      <c r="T109" s="27">
        <f>+S109/R109*1000000</f>
        <v>0</v>
      </c>
      <c r="U109" s="14">
        <f>SUM(U3:U108)</f>
        <v>1004488</v>
      </c>
      <c r="V109" s="14">
        <f>SUM(V3:V107)</f>
        <v>0</v>
      </c>
      <c r="W109" s="27">
        <f>+V109/U109*1000000</f>
        <v>0</v>
      </c>
      <c r="X109" s="14">
        <f>SUM(X3:X108)</f>
        <v>1397889</v>
      </c>
      <c r="Y109" s="14">
        <f>SUM(Y3:Y107)</f>
        <v>14</v>
      </c>
      <c r="Z109" s="27">
        <f>+Y109/X109*1000000</f>
        <v>10.015101342095116</v>
      </c>
      <c r="AA109" s="14">
        <f>SUM(AA3:AA108)</f>
        <v>1407789</v>
      </c>
      <c r="AB109" s="14">
        <f>SUM(AB3:AB107)</f>
        <v>0</v>
      </c>
      <c r="AC109" s="27">
        <f>+AB109/AA109*1000000</f>
        <v>0</v>
      </c>
      <c r="AD109" s="14">
        <f>SUM(AD3:AD108)</f>
        <v>1445664</v>
      </c>
      <c r="AE109" s="14">
        <f>SUM(AE3:AE107)</f>
        <v>0</v>
      </c>
      <c r="AF109" s="27">
        <f>+AE109/AD109*1000000</f>
        <v>0</v>
      </c>
      <c r="AG109" s="14"/>
      <c r="AH109" s="27"/>
      <c r="AI109" s="14"/>
      <c r="AJ109" s="14"/>
      <c r="AK109" s="27"/>
      <c r="AL109" s="14"/>
    </row>
    <row r="110" spans="1:38">
      <c r="B110" s="12" t="s">
        <v>64</v>
      </c>
      <c r="C110" s="63" t="s">
        <v>235</v>
      </c>
      <c r="D110" s="64"/>
      <c r="E110" s="12"/>
      <c r="F110" s="63" t="s">
        <v>246</v>
      </c>
      <c r="G110" s="64"/>
      <c r="H110" s="12"/>
      <c r="I110" s="63" t="s">
        <v>246</v>
      </c>
      <c r="J110" s="64"/>
      <c r="K110" s="12"/>
      <c r="L110" s="63" t="s">
        <v>263</v>
      </c>
      <c r="M110" s="64"/>
      <c r="N110" s="12"/>
      <c r="O110" s="63" t="s">
        <v>263</v>
      </c>
      <c r="P110" s="64"/>
      <c r="Q110" s="12"/>
      <c r="R110" s="63" t="s">
        <v>291</v>
      </c>
      <c r="S110" s="64"/>
      <c r="T110" s="12"/>
      <c r="U110" s="63" t="s">
        <v>291</v>
      </c>
      <c r="V110" s="64"/>
      <c r="W110" s="12"/>
      <c r="X110" s="63" t="s">
        <v>291</v>
      </c>
      <c r="Y110" s="64"/>
      <c r="Z110" s="12"/>
      <c r="AA110" s="63" t="s">
        <v>291</v>
      </c>
      <c r="AB110" s="64"/>
      <c r="AD110" s="63"/>
      <c r="AE110" s="64"/>
      <c r="AH110" s="63"/>
      <c r="AI110" s="64"/>
      <c r="AK110" s="63"/>
      <c r="AL110" s="64"/>
    </row>
    <row r="111" spans="1:38">
      <c r="B111" s="17"/>
      <c r="C111" s="20"/>
      <c r="D111" s="19"/>
      <c r="E111" s="19"/>
      <c r="O111" s="57"/>
      <c r="U111" s="18" t="s">
        <v>64</v>
      </c>
      <c r="AA111" s="57"/>
      <c r="AG111" s="57"/>
      <c r="AJ111" s="57"/>
    </row>
    <row r="112" spans="1:38">
      <c r="B112" s="23"/>
      <c r="C112" s="37"/>
      <c r="D112" s="23"/>
      <c r="E112" s="23"/>
      <c r="F112" s="57"/>
      <c r="I112" s="57"/>
      <c r="L112" s="57"/>
      <c r="O112" s="57"/>
      <c r="R112" s="57"/>
      <c r="U112" s="57" t="s">
        <v>64</v>
      </c>
      <c r="X112" s="57"/>
      <c r="AA112" s="57"/>
      <c r="AD112" s="57"/>
    </row>
    <row r="113" spans="1:33" ht="14.25" customHeight="1">
      <c r="B113" s="23"/>
      <c r="C113" s="37"/>
      <c r="D113" s="23"/>
      <c r="E113" s="23"/>
      <c r="AG113" s="57"/>
    </row>
    <row r="114" spans="1:33">
      <c r="A114" s="3" t="s">
        <v>140</v>
      </c>
      <c r="B114" s="5"/>
      <c r="C114" s="3"/>
      <c r="D114" s="3"/>
      <c r="E114" s="3"/>
      <c r="I114" s="57"/>
      <c r="O114" s="17"/>
      <c r="P114" s="17"/>
      <c r="Q114" s="47" t="s">
        <v>171</v>
      </c>
      <c r="R114" s="47" t="s">
        <v>171</v>
      </c>
      <c r="S114" s="48" t="s">
        <v>172</v>
      </c>
      <c r="T114" s="49"/>
      <c r="U114" s="26"/>
      <c r="AA114" s="57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50" t="s">
        <v>32</v>
      </c>
      <c r="P115" s="50" t="s">
        <v>33</v>
      </c>
      <c r="Q115" s="47" t="s">
        <v>6</v>
      </c>
      <c r="R115" s="47" t="s">
        <v>1</v>
      </c>
      <c r="S115" s="50" t="s">
        <v>1</v>
      </c>
      <c r="T115" s="49"/>
      <c r="U115" s="22"/>
      <c r="AA115" s="57"/>
      <c r="AD115" s="57"/>
    </row>
    <row r="116" spans="1:33" ht="12" customHeight="1">
      <c r="A116" s="7" t="s">
        <v>233</v>
      </c>
      <c r="B116" s="7"/>
      <c r="C116" s="7"/>
      <c r="D116" s="45"/>
      <c r="E116" s="8"/>
      <c r="O116" s="53" t="s">
        <v>186</v>
      </c>
      <c r="P116" s="52">
        <v>25</v>
      </c>
      <c r="Q116" s="56">
        <v>6</v>
      </c>
      <c r="R116" s="56">
        <v>4.87</v>
      </c>
      <c r="S116" s="56">
        <v>46.8</v>
      </c>
      <c r="T116" s="55">
        <f>SUM(R116:R116)</f>
        <v>4.87</v>
      </c>
      <c r="U116" s="54">
        <f t="shared" ref="U116:U132" si="0">+T116/12</f>
        <v>0.40583333333333332</v>
      </c>
    </row>
    <row r="117" spans="1:33" ht="12.75" customHeight="1">
      <c r="A117" s="3" t="s">
        <v>247</v>
      </c>
      <c r="B117" s="5"/>
      <c r="C117" s="3"/>
      <c r="D117" s="3"/>
      <c r="E117" s="3"/>
      <c r="O117" s="53" t="s">
        <v>189</v>
      </c>
      <c r="P117" s="52">
        <v>25</v>
      </c>
      <c r="Q117" s="56">
        <v>0</v>
      </c>
      <c r="R117" s="56">
        <v>0</v>
      </c>
      <c r="S117" s="56">
        <v>41.3</v>
      </c>
      <c r="T117" s="55">
        <f>SUM(R116:R117)</f>
        <v>4.87</v>
      </c>
      <c r="U117" s="54">
        <f t="shared" si="0"/>
        <v>0.40583333333333332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3" t="s">
        <v>195</v>
      </c>
      <c r="P118" s="52">
        <v>25</v>
      </c>
      <c r="Q118" s="56">
        <v>0</v>
      </c>
      <c r="R118" s="56">
        <v>0</v>
      </c>
      <c r="S118" s="56">
        <v>35.380000000000003</v>
      </c>
      <c r="T118" s="55">
        <f>SUM(R116:R118)</f>
        <v>4.87</v>
      </c>
      <c r="U118" s="54">
        <f t="shared" si="0"/>
        <v>0.40583333333333332</v>
      </c>
    </row>
    <row r="119" spans="1:33" ht="12" customHeight="1">
      <c r="A119" s="2">
        <v>15038814</v>
      </c>
      <c r="B119" s="2" t="s">
        <v>240</v>
      </c>
      <c r="C119" s="2">
        <v>2</v>
      </c>
      <c r="D119" s="4" t="s">
        <v>241</v>
      </c>
      <c r="E119" s="4"/>
      <c r="G119" s="18" t="s">
        <v>242</v>
      </c>
      <c r="I119" s="18" t="s">
        <v>243</v>
      </c>
      <c r="O119" s="53" t="s">
        <v>201</v>
      </c>
      <c r="P119" s="52">
        <v>25</v>
      </c>
      <c r="Q119" s="56">
        <v>1</v>
      </c>
      <c r="R119" s="56">
        <v>1.08</v>
      </c>
      <c r="S119" s="56">
        <v>30.03</v>
      </c>
      <c r="T119" s="55">
        <f>SUM(R116:R119)</f>
        <v>5.95</v>
      </c>
      <c r="U119" s="54">
        <f t="shared" si="0"/>
        <v>0.49583333333333335</v>
      </c>
    </row>
    <row r="120" spans="1:33" ht="10.5" customHeight="1">
      <c r="A120" s="3" t="s">
        <v>250</v>
      </c>
      <c r="B120" s="5"/>
      <c r="C120" s="3"/>
      <c r="D120" s="3"/>
      <c r="E120" s="3"/>
      <c r="O120" s="53" t="s">
        <v>204</v>
      </c>
      <c r="P120" s="52">
        <v>25</v>
      </c>
      <c r="Q120" s="56">
        <v>17</v>
      </c>
      <c r="R120" s="56">
        <v>28.6</v>
      </c>
      <c r="S120" s="56">
        <v>17.25</v>
      </c>
      <c r="T120" s="55">
        <f>SUM(R116:R120)</f>
        <v>34.550000000000004</v>
      </c>
      <c r="U120" s="54">
        <f t="shared" si="0"/>
        <v>2.8791666666666669</v>
      </c>
    </row>
    <row r="121" spans="1:33" ht="13.5" customHeight="1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3" t="s">
        <v>209</v>
      </c>
      <c r="P121" s="52">
        <v>25</v>
      </c>
      <c r="Q121" s="56">
        <v>0</v>
      </c>
      <c r="R121" s="56">
        <v>0</v>
      </c>
      <c r="S121" s="56">
        <v>12.42</v>
      </c>
      <c r="T121" s="55">
        <f>SUM(R116:R121)</f>
        <v>34.550000000000004</v>
      </c>
      <c r="U121" s="54">
        <f t="shared" si="0"/>
        <v>2.8791666666666669</v>
      </c>
    </row>
    <row r="122" spans="1:33">
      <c r="A122" s="2" t="s">
        <v>233</v>
      </c>
      <c r="B122" s="2"/>
      <c r="C122" s="2"/>
      <c r="D122" s="4"/>
      <c r="E122" s="4"/>
      <c r="O122" s="53" t="s">
        <v>210</v>
      </c>
      <c r="P122" s="52">
        <v>25</v>
      </c>
      <c r="Q122" s="56">
        <v>0</v>
      </c>
      <c r="R122" s="56">
        <v>0</v>
      </c>
      <c r="S122" s="56">
        <v>12.42</v>
      </c>
      <c r="T122" s="55">
        <f>SUM(R116:R122)</f>
        <v>34.550000000000004</v>
      </c>
      <c r="U122" s="54">
        <f t="shared" si="0"/>
        <v>2.8791666666666669</v>
      </c>
    </row>
    <row r="123" spans="1:33" ht="12" customHeight="1">
      <c r="A123" s="3" t="s">
        <v>253</v>
      </c>
      <c r="B123" s="5"/>
      <c r="C123" s="3"/>
      <c r="D123" s="3"/>
      <c r="E123" s="3"/>
      <c r="O123" s="53" t="s">
        <v>218</v>
      </c>
      <c r="P123" s="52">
        <v>25</v>
      </c>
      <c r="Q123" s="56">
        <v>0</v>
      </c>
      <c r="R123" s="56">
        <v>0</v>
      </c>
      <c r="S123" s="56">
        <v>7.88</v>
      </c>
      <c r="T123" s="55">
        <f>SUM(R116:R123)</f>
        <v>34.550000000000004</v>
      </c>
      <c r="U123" s="54">
        <f t="shared" si="0"/>
        <v>2.8791666666666669</v>
      </c>
    </row>
    <row r="124" spans="1:33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53" t="s">
        <v>219</v>
      </c>
      <c r="P124" s="52">
        <v>25</v>
      </c>
      <c r="Q124" s="56">
        <v>0</v>
      </c>
      <c r="R124" s="56">
        <v>0</v>
      </c>
      <c r="S124" s="56">
        <v>5.2750000000000004</v>
      </c>
      <c r="T124" s="55">
        <f>SUM(R116:R124)</f>
        <v>34.550000000000004</v>
      </c>
      <c r="U124" s="54">
        <f t="shared" si="0"/>
        <v>2.8791666666666669</v>
      </c>
    </row>
    <row r="125" spans="1:33" ht="13.5" customHeight="1">
      <c r="A125" s="2" t="s">
        <v>233</v>
      </c>
      <c r="B125" s="5"/>
      <c r="C125" s="3"/>
      <c r="D125" s="3"/>
      <c r="E125" s="3"/>
      <c r="G125" s="5"/>
      <c r="I125" s="3"/>
      <c r="O125" s="53" t="s">
        <v>221</v>
      </c>
      <c r="P125" s="52">
        <v>25</v>
      </c>
      <c r="Q125" s="56">
        <v>0</v>
      </c>
      <c r="R125" s="56">
        <v>0</v>
      </c>
      <c r="S125" s="56">
        <v>3.109</v>
      </c>
      <c r="T125" s="55">
        <f>SUM(R116:R125)</f>
        <v>34.550000000000004</v>
      </c>
      <c r="U125" s="54">
        <f t="shared" si="0"/>
        <v>2.8791666666666669</v>
      </c>
    </row>
    <row r="126" spans="1:33" ht="13.5" customHeight="1">
      <c r="A126" s="3" t="s">
        <v>264</v>
      </c>
      <c r="B126" s="5"/>
      <c r="C126" s="3"/>
      <c r="D126" s="3"/>
      <c r="E126" s="3"/>
      <c r="O126" s="53" t="s">
        <v>223</v>
      </c>
      <c r="P126" s="52">
        <v>25</v>
      </c>
      <c r="Q126" s="56">
        <v>0</v>
      </c>
      <c r="R126" s="56">
        <v>0</v>
      </c>
      <c r="S126" s="56">
        <v>3.109</v>
      </c>
      <c r="T126" s="55">
        <f>SUM(R116:R126)</f>
        <v>34.550000000000004</v>
      </c>
      <c r="U126" s="54">
        <f t="shared" si="0"/>
        <v>2.8791666666666669</v>
      </c>
    </row>
    <row r="127" spans="1:33">
      <c r="A127" s="3" t="s">
        <v>10</v>
      </c>
      <c r="B127" s="5" t="s">
        <v>11</v>
      </c>
      <c r="C127" s="3" t="s">
        <v>12</v>
      </c>
      <c r="D127" s="3" t="s">
        <v>13</v>
      </c>
      <c r="E127" s="3"/>
      <c r="G127" s="5" t="s">
        <v>161</v>
      </c>
      <c r="I127" s="3" t="s">
        <v>0</v>
      </c>
      <c r="O127" s="53" t="s">
        <v>224</v>
      </c>
      <c r="P127" s="52">
        <v>25</v>
      </c>
      <c r="Q127" s="56">
        <v>0</v>
      </c>
      <c r="R127" s="56">
        <v>0</v>
      </c>
      <c r="S127" s="56">
        <v>2.879</v>
      </c>
      <c r="T127" s="55">
        <f t="shared" ref="T127:T132" si="1">SUM(R116:R127)</f>
        <v>34.550000000000004</v>
      </c>
      <c r="U127" s="54">
        <f t="shared" si="0"/>
        <v>2.8791666666666669</v>
      </c>
    </row>
    <row r="128" spans="1:33" ht="12.75" customHeight="1">
      <c r="A128" s="2" t="s">
        <v>233</v>
      </c>
      <c r="B128" s="5"/>
      <c r="C128" s="3"/>
      <c r="D128" s="3"/>
      <c r="E128" s="3"/>
      <c r="G128" s="5"/>
      <c r="I128" s="3"/>
      <c r="O128" s="53" t="s">
        <v>232</v>
      </c>
      <c r="P128" s="52">
        <v>25</v>
      </c>
      <c r="Q128" s="56">
        <v>0</v>
      </c>
      <c r="R128" s="56">
        <v>0</v>
      </c>
      <c r="S128" s="56">
        <v>2.4729999999999999</v>
      </c>
      <c r="T128" s="55">
        <f t="shared" si="1"/>
        <v>29.68</v>
      </c>
      <c r="U128" s="54">
        <f t="shared" si="0"/>
        <v>2.4733333333333332</v>
      </c>
    </row>
    <row r="129" spans="1:21">
      <c r="A129" s="3" t="s">
        <v>266</v>
      </c>
      <c r="B129" s="5"/>
      <c r="C129" s="3"/>
      <c r="D129" s="3"/>
      <c r="E129" s="3"/>
      <c r="O129" s="53" t="s">
        <v>236</v>
      </c>
      <c r="P129" s="52">
        <v>25</v>
      </c>
      <c r="Q129" s="56">
        <v>0</v>
      </c>
      <c r="R129" s="56">
        <v>1.7</v>
      </c>
      <c r="S129" s="56">
        <v>2.6150000000000002</v>
      </c>
      <c r="T129" s="55">
        <f t="shared" si="1"/>
        <v>31.38</v>
      </c>
      <c r="U129" s="54">
        <f t="shared" si="0"/>
        <v>2.6149999999999998</v>
      </c>
    </row>
    <row r="130" spans="1:21" ht="12" customHeight="1">
      <c r="A130" s="3" t="s">
        <v>10</v>
      </c>
      <c r="B130" s="5" t="s">
        <v>11</v>
      </c>
      <c r="C130" s="3" t="s">
        <v>12</v>
      </c>
      <c r="D130" s="3" t="s">
        <v>13</v>
      </c>
      <c r="E130" s="3"/>
      <c r="G130" s="5" t="s">
        <v>161</v>
      </c>
      <c r="I130" s="3" t="s">
        <v>0</v>
      </c>
      <c r="O130" s="53" t="s">
        <v>251</v>
      </c>
      <c r="P130" s="52">
        <v>25</v>
      </c>
      <c r="Q130" s="56">
        <v>0</v>
      </c>
      <c r="R130" s="56">
        <v>0</v>
      </c>
      <c r="S130" s="56">
        <v>2.6150000000000002</v>
      </c>
      <c r="T130" s="55">
        <f t="shared" si="1"/>
        <v>31.38</v>
      </c>
      <c r="U130" s="54">
        <f t="shared" si="0"/>
        <v>2.6149999999999998</v>
      </c>
    </row>
    <row r="131" spans="1:21" ht="13.5" customHeight="1">
      <c r="A131" s="38" t="s">
        <v>276</v>
      </c>
      <c r="B131" s="22"/>
      <c r="C131" s="38">
        <v>1</v>
      </c>
      <c r="D131" s="39" t="s">
        <v>277</v>
      </c>
      <c r="E131" s="38"/>
      <c r="G131" s="18" t="s">
        <v>242</v>
      </c>
      <c r="I131" s="18" t="s">
        <v>278</v>
      </c>
      <c r="O131" s="53" t="s">
        <v>262</v>
      </c>
      <c r="P131" s="52">
        <v>25</v>
      </c>
      <c r="Q131" s="56">
        <v>0</v>
      </c>
      <c r="R131" s="56">
        <v>0</v>
      </c>
      <c r="S131" s="56">
        <v>2.5249999999999999</v>
      </c>
      <c r="T131" s="55">
        <f t="shared" si="1"/>
        <v>30.3</v>
      </c>
      <c r="U131" s="54">
        <f t="shared" si="0"/>
        <v>2.5249999999999999</v>
      </c>
    </row>
    <row r="132" spans="1:21" ht="13.5" customHeight="1">
      <c r="A132" s="3" t="s">
        <v>275</v>
      </c>
      <c r="B132" s="5"/>
      <c r="O132" s="53" t="s">
        <v>265</v>
      </c>
      <c r="P132" s="52">
        <v>25</v>
      </c>
      <c r="Q132" s="56">
        <v>0</v>
      </c>
      <c r="R132" s="56">
        <v>0</v>
      </c>
      <c r="S132" s="56">
        <v>0.14000000000000001</v>
      </c>
      <c r="T132" s="55">
        <f t="shared" si="1"/>
        <v>1.7</v>
      </c>
      <c r="U132" s="54">
        <f t="shared" si="0"/>
        <v>0.14166666666666666</v>
      </c>
    </row>
    <row r="133" spans="1:21" ht="14.25" customHeight="1">
      <c r="A133" s="3" t="s">
        <v>10</v>
      </c>
      <c r="B133" s="5" t="s">
        <v>11</v>
      </c>
      <c r="C133" s="3" t="s">
        <v>12</v>
      </c>
      <c r="D133" s="3" t="s">
        <v>13</v>
      </c>
      <c r="E133" s="3"/>
      <c r="G133" s="5" t="s">
        <v>161</v>
      </c>
      <c r="I133" s="3" t="s">
        <v>0</v>
      </c>
      <c r="O133" s="53" t="s">
        <v>271</v>
      </c>
      <c r="P133" s="52">
        <v>25</v>
      </c>
      <c r="Q133" s="56">
        <v>1</v>
      </c>
      <c r="R133" s="56">
        <v>0</v>
      </c>
      <c r="S133" s="56">
        <v>0.14000000000000001</v>
      </c>
      <c r="T133" s="55">
        <f t="shared" ref="T133:T135" si="2">SUM(R122:R133)</f>
        <v>1.7</v>
      </c>
      <c r="U133" s="54">
        <f t="shared" ref="U133:U135" si="3">+T133/12</f>
        <v>0.14166666666666666</v>
      </c>
    </row>
    <row r="134" spans="1:21" ht="12" customHeight="1">
      <c r="A134" s="2" t="s">
        <v>233</v>
      </c>
      <c r="B134" s="50"/>
      <c r="C134" s="58"/>
      <c r="D134" s="1"/>
      <c r="E134" s="1"/>
      <c r="O134" s="53" t="s">
        <v>281</v>
      </c>
      <c r="P134" s="52">
        <v>25</v>
      </c>
      <c r="Q134" s="56">
        <v>0</v>
      </c>
      <c r="R134" s="56">
        <v>0</v>
      </c>
      <c r="S134" s="56">
        <v>0.14000000000000001</v>
      </c>
      <c r="T134" s="55">
        <f t="shared" si="2"/>
        <v>1.7</v>
      </c>
      <c r="U134" s="54">
        <f t="shared" si="3"/>
        <v>0.14166666666666666</v>
      </c>
    </row>
    <row r="135" spans="1:21" ht="14.25" customHeight="1">
      <c r="A135" s="3" t="s">
        <v>279</v>
      </c>
      <c r="B135" s="5"/>
      <c r="C135" s="50"/>
      <c r="D135" s="60"/>
      <c r="E135" s="60"/>
      <c r="F135" s="59"/>
      <c r="G135" s="59"/>
      <c r="H135" s="59"/>
      <c r="I135" s="59"/>
      <c r="O135" s="53" t="s">
        <v>282</v>
      </c>
      <c r="P135" s="52">
        <v>25</v>
      </c>
      <c r="Q135" s="56">
        <v>14</v>
      </c>
      <c r="R135" s="56">
        <v>0</v>
      </c>
      <c r="S135" s="56">
        <v>0.14000000000000001</v>
      </c>
      <c r="T135" s="55">
        <f t="shared" si="2"/>
        <v>1.7</v>
      </c>
      <c r="U135" s="54">
        <f t="shared" si="3"/>
        <v>0.14166666666666666</v>
      </c>
    </row>
    <row r="136" spans="1:21" ht="12.75" customHeight="1">
      <c r="A136" s="3" t="s">
        <v>10</v>
      </c>
      <c r="B136" s="5" t="s">
        <v>11</v>
      </c>
      <c r="C136" s="3" t="s">
        <v>12</v>
      </c>
      <c r="D136" s="3" t="s">
        <v>13</v>
      </c>
      <c r="E136" s="3"/>
      <c r="G136" s="5" t="s">
        <v>161</v>
      </c>
      <c r="I136" s="3" t="s">
        <v>0</v>
      </c>
      <c r="O136" s="53" t="s">
        <v>294</v>
      </c>
      <c r="P136" s="52">
        <v>25</v>
      </c>
      <c r="Q136" s="56">
        <v>0</v>
      </c>
      <c r="R136" s="56">
        <v>0</v>
      </c>
      <c r="S136" s="56">
        <v>0.14000000000000001</v>
      </c>
      <c r="T136" s="55">
        <f t="shared" ref="T136" si="4">SUM(R125:R136)</f>
        <v>1.7</v>
      </c>
      <c r="U136" s="54">
        <f t="shared" ref="U136" si="5">+T136/12</f>
        <v>0.14166666666666666</v>
      </c>
    </row>
    <row r="137" spans="1:21" ht="12.75" customHeight="1">
      <c r="A137" s="2" t="s">
        <v>280</v>
      </c>
      <c r="B137" s="2" t="s">
        <v>283</v>
      </c>
      <c r="C137" s="2">
        <v>2</v>
      </c>
      <c r="D137" s="1" t="s">
        <v>284</v>
      </c>
      <c r="E137" s="1"/>
      <c r="G137" s="18" t="s">
        <v>242</v>
      </c>
      <c r="I137" s="1" t="s">
        <v>27</v>
      </c>
      <c r="O137" s="53" t="s">
        <v>300</v>
      </c>
      <c r="P137" s="52">
        <v>25</v>
      </c>
      <c r="Q137" s="56">
        <v>0</v>
      </c>
      <c r="R137" s="56">
        <v>0</v>
      </c>
      <c r="S137" s="56">
        <v>0.14000000000000001</v>
      </c>
      <c r="T137" s="55">
        <f t="shared" ref="T137" si="6">SUM(R126:R137)</f>
        <v>1.7</v>
      </c>
      <c r="U137" s="54">
        <f t="shared" ref="U137" si="7">+T137/12</f>
        <v>0.14166666666666666</v>
      </c>
    </row>
    <row r="138" spans="1:21">
      <c r="A138" s="2" t="s">
        <v>285</v>
      </c>
      <c r="B138" s="2"/>
      <c r="C138" s="2">
        <v>1</v>
      </c>
      <c r="D138" s="4" t="s">
        <v>286</v>
      </c>
      <c r="E138" s="4"/>
      <c r="G138" s="18" t="s">
        <v>242</v>
      </c>
      <c r="I138" s="18" t="s">
        <v>287</v>
      </c>
    </row>
    <row r="139" spans="1:21">
      <c r="A139" s="2" t="s">
        <v>288</v>
      </c>
      <c r="B139" s="2" t="s">
        <v>283</v>
      </c>
      <c r="C139" s="2">
        <v>10</v>
      </c>
      <c r="D139" s="4" t="s">
        <v>289</v>
      </c>
      <c r="E139" s="4"/>
      <c r="G139" s="18" t="s">
        <v>242</v>
      </c>
      <c r="I139" s="18" t="s">
        <v>290</v>
      </c>
    </row>
    <row r="140" spans="1:21" ht="12.75" customHeight="1">
      <c r="A140" s="2" t="s">
        <v>280</v>
      </c>
      <c r="B140" s="2" t="s">
        <v>283</v>
      </c>
      <c r="C140" s="2">
        <v>1</v>
      </c>
      <c r="D140" s="1" t="s">
        <v>286</v>
      </c>
      <c r="E140" s="1"/>
      <c r="G140" s="18" t="s">
        <v>242</v>
      </c>
      <c r="I140" s="1" t="s">
        <v>27</v>
      </c>
    </row>
    <row r="141" spans="1:21" ht="13.5" customHeight="1">
      <c r="A141" s="3" t="s">
        <v>292</v>
      </c>
      <c r="B141" s="5"/>
      <c r="C141" s="50"/>
      <c r="D141" s="60"/>
      <c r="E141" s="60"/>
      <c r="F141" s="59"/>
      <c r="G141" s="59"/>
      <c r="H141" s="59"/>
      <c r="I141" s="59"/>
    </row>
    <row r="142" spans="1:21" ht="13.5" customHeight="1">
      <c r="A142" s="3" t="s">
        <v>10</v>
      </c>
      <c r="B142" s="5" t="s">
        <v>11</v>
      </c>
      <c r="C142" s="3" t="s">
        <v>12</v>
      </c>
      <c r="D142" s="3" t="s">
        <v>13</v>
      </c>
      <c r="E142" s="3"/>
      <c r="G142" s="5" t="s">
        <v>161</v>
      </c>
      <c r="I142" s="3" t="s">
        <v>0</v>
      </c>
    </row>
    <row r="143" spans="1:21" ht="14.25" customHeight="1">
      <c r="A143" s="2" t="s">
        <v>295</v>
      </c>
      <c r="B143" s="22"/>
      <c r="C143" s="2"/>
      <c r="D143" s="40"/>
      <c r="E143" s="2"/>
    </row>
    <row r="144" spans="1:21" ht="13.5" customHeight="1">
      <c r="A144" s="3" t="s">
        <v>296</v>
      </c>
      <c r="B144" s="5"/>
    </row>
    <row r="145" spans="1:21" ht="12" customHeight="1">
      <c r="A145" s="3" t="s">
        <v>10</v>
      </c>
      <c r="B145" s="5" t="s">
        <v>11</v>
      </c>
      <c r="C145" s="3"/>
      <c r="D145" s="3"/>
      <c r="E145" s="3"/>
      <c r="G145" s="5"/>
      <c r="I145" s="3"/>
    </row>
    <row r="146" spans="1:21" s="24" customFormat="1" ht="12" customHeight="1">
      <c r="A146" s="61"/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22"/>
      <c r="B147" s="22"/>
      <c r="C147" s="22"/>
      <c r="D147" s="8"/>
      <c r="E147" s="22"/>
      <c r="F147" s="24"/>
      <c r="G147" s="24"/>
      <c r="H147" s="24"/>
      <c r="I147" s="24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/>
      <c r="B148" s="18"/>
      <c r="C148" s="18"/>
      <c r="D148" s="18"/>
      <c r="E148" s="18"/>
      <c r="F148" s="18"/>
      <c r="G148" s="18"/>
      <c r="H148" s="18"/>
      <c r="I148" s="18"/>
      <c r="O148" s="35"/>
      <c r="P148" s="35"/>
      <c r="Q148" s="35"/>
      <c r="R148" s="35"/>
      <c r="S148" s="35"/>
      <c r="T148" s="35"/>
      <c r="U148" s="35"/>
    </row>
    <row r="149" spans="1:21" ht="12" customHeight="1">
      <c r="A149" s="3"/>
      <c r="B149" s="5"/>
      <c r="C149" s="3"/>
      <c r="D149" s="3"/>
      <c r="E149" s="3"/>
      <c r="G149" s="5"/>
      <c r="I149" s="3"/>
    </row>
    <row r="150" spans="1:21" ht="13.5" customHeight="1">
      <c r="A150" s="61"/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3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50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1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50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50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U110:V110"/>
    <mergeCell ref="R110:S110"/>
    <mergeCell ref="C110:D110"/>
    <mergeCell ref="F110:G110"/>
    <mergeCell ref="I110:J110"/>
    <mergeCell ref="L110:M110"/>
    <mergeCell ref="O110:P110"/>
    <mergeCell ref="AK110:AL110"/>
    <mergeCell ref="AH110:AI110"/>
    <mergeCell ref="AD110:AE110"/>
    <mergeCell ref="AA110:AB110"/>
    <mergeCell ref="X110:Y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  <ignoredErrors>
    <ignoredError sqref="Q10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2010-11-02T12:36:29Z</dcterms:modified>
</cp:coreProperties>
</file>