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PPM'!$A$3:$E$202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42" i="3"/>
  <c r="T142"/>
  <c r="AI62"/>
  <c r="AG112"/>
  <c r="AG98"/>
  <c r="AG77"/>
  <c r="AG62"/>
  <c r="AG48"/>
  <c r="AG44"/>
  <c r="AG78"/>
  <c r="AG96"/>
  <c r="AG101"/>
  <c r="AG18"/>
  <c r="AG8"/>
  <c r="AH113"/>
  <c r="T141"/>
  <c r="U141" s="1"/>
  <c r="AF62"/>
  <c r="AD62"/>
  <c r="AD77"/>
  <c r="AD36"/>
  <c r="AD100"/>
  <c r="AD112"/>
  <c r="AD44"/>
  <c r="AD48"/>
  <c r="AD18"/>
  <c r="AE113"/>
  <c r="AG113" l="1"/>
  <c r="AD113"/>
  <c r="AC70"/>
  <c r="AA69"/>
  <c r="AA62"/>
  <c r="AC62" s="1"/>
  <c r="AA61"/>
  <c r="AA50"/>
  <c r="AA49"/>
  <c r="AA48"/>
  <c r="AA44"/>
  <c r="AA41"/>
  <c r="AA36"/>
  <c r="AA18"/>
  <c r="AB113"/>
  <c r="T140"/>
  <c r="U140" s="1"/>
  <c r="X103"/>
  <c r="X112"/>
  <c r="X69"/>
  <c r="X62"/>
  <c r="X48"/>
  <c r="X78"/>
  <c r="X96"/>
  <c r="X36"/>
  <c r="X18"/>
  <c r="U139"/>
  <c r="T139"/>
  <c r="Y113"/>
  <c r="U112"/>
  <c r="U77"/>
  <c r="U62"/>
  <c r="U48"/>
  <c r="U38"/>
  <c r="U31"/>
  <c r="U36"/>
  <c r="U18"/>
  <c r="V113"/>
  <c r="U138"/>
  <c r="T138"/>
  <c r="T137"/>
  <c r="U137" s="1"/>
  <c r="R97"/>
  <c r="R112"/>
  <c r="R77"/>
  <c r="R70"/>
  <c r="R62"/>
  <c r="R49"/>
  <c r="R44"/>
  <c r="R96"/>
  <c r="R36"/>
  <c r="R29"/>
  <c r="R18"/>
  <c r="R8"/>
  <c r="S113"/>
  <c r="U136"/>
  <c r="T136"/>
  <c r="O61"/>
  <c r="O62"/>
  <c r="Q62" s="1"/>
  <c r="O77"/>
  <c r="O39"/>
  <c r="O96"/>
  <c r="O36"/>
  <c r="O31"/>
  <c r="O18"/>
  <c r="O112"/>
  <c r="P113"/>
  <c r="T135"/>
  <c r="U135" s="1"/>
  <c r="L62"/>
  <c r="N62" s="1"/>
  <c r="L112"/>
  <c r="L77"/>
  <c r="L69"/>
  <c r="L54"/>
  <c r="L48"/>
  <c r="L44"/>
  <c r="L39"/>
  <c r="L36"/>
  <c r="L18"/>
  <c r="L8"/>
  <c r="M113"/>
  <c r="T134"/>
  <c r="U134" s="1"/>
  <c r="Z70" l="1"/>
  <c r="AI113"/>
  <c r="AF113"/>
  <c r="AA113"/>
  <c r="X113"/>
  <c r="U113"/>
  <c r="R113"/>
  <c r="O113"/>
  <c r="L113"/>
  <c r="N113" s="1"/>
  <c r="I100"/>
  <c r="I97"/>
  <c r="I112"/>
  <c r="I77"/>
  <c r="I61"/>
  <c r="I62"/>
  <c r="I54"/>
  <c r="I53"/>
  <c r="I38"/>
  <c r="I101"/>
  <c r="I36"/>
  <c r="I18"/>
  <c r="AC113" l="1"/>
  <c r="Z113"/>
  <c r="W113"/>
  <c r="T113"/>
  <c r="Q113"/>
  <c r="J113"/>
  <c r="I113"/>
  <c r="T133"/>
  <c r="U133" s="1"/>
  <c r="H62"/>
  <c r="F112"/>
  <c r="F98"/>
  <c r="F77"/>
  <c r="F69"/>
  <c r="F62"/>
  <c r="F50"/>
  <c r="F39"/>
  <c r="F96"/>
  <c r="F18"/>
  <c r="F8"/>
  <c r="G113"/>
  <c r="E62"/>
  <c r="T132"/>
  <c r="U132" s="1"/>
  <c r="C98"/>
  <c r="C95"/>
  <c r="C77"/>
  <c r="C62"/>
  <c r="C112"/>
  <c r="C38"/>
  <c r="C36"/>
  <c r="C18"/>
  <c r="T131"/>
  <c r="U131" s="1"/>
  <c r="T130"/>
  <c r="U130" s="1"/>
  <c r="T129"/>
  <c r="U129" s="1"/>
  <c r="T128"/>
  <c r="U128" s="1"/>
  <c r="T127"/>
  <c r="U127" s="1"/>
  <c r="T126"/>
  <c r="U126" s="1"/>
  <c r="U125"/>
  <c r="T125"/>
  <c r="K113" l="1"/>
  <c r="F113"/>
  <c r="T124"/>
  <c r="U124" s="1"/>
  <c r="T123"/>
  <c r="U123" s="1"/>
  <c r="T122"/>
  <c r="U122" s="1"/>
  <c r="T121"/>
  <c r="U121" s="1"/>
  <c r="T120"/>
  <c r="U120" s="1"/>
  <c r="D113"/>
  <c r="H113" l="1"/>
  <c r="C113"/>
  <c r="E113" l="1"/>
</calcChain>
</file>

<file path=xl/sharedStrings.xml><?xml version="1.0" encoding="utf-8"?>
<sst xmlns="http://schemas.openxmlformats.org/spreadsheetml/2006/main" count="540" uniqueCount="335">
  <si>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</si>
  <si>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</si>
  <si>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</si>
  <si>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</si>
  <si>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</si>
  <si>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</si>
  <si>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</si>
  <si>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</si>
  <si>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</si>
  <si>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</si>
  <si>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</si>
  <si>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</si>
  <si>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</si>
  <si>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</si>
  <si>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</si>
  <si>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</si>
  <si>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</si>
  <si>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</si>
  <si>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</si>
  <si>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</si>
  <si>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</si>
  <si>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</si>
  <si>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</si>
  <si>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</si>
  <si>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</si>
  <si>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</si>
  <si>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</si>
  <si>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</si>
  <si>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</si>
  <si>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</si>
  <si>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</si>
  <si>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</si>
  <si>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</si>
  <si>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</si>
  <si>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</si>
  <si>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</si>
  <si>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</si>
  <si>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</si>
  <si>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</si>
  <si>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</si>
  <si>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</si>
  <si>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</si>
  <si>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</si>
  <si>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</si>
  <si>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</si>
  <si>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</si>
  <si>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</si>
  <si>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</si>
  <si>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</si>
  <si>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</si>
  <si>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</si>
  <si>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</si>
  <si>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</si>
  <si>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</si>
  <si>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</si>
  <si>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</si>
  <si>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</si>
  <si>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</si>
  <si>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</si>
  <si>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</si>
  <si>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</si>
  <si>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</si>
  <si>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</si>
  <si>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</si>
  <si>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</si>
  <si>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</si>
  <si>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</si>
  <si>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</si>
  <si>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</si>
  <si>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</si>
  <si>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</si>
  <si>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</si>
  <si>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</si>
  <si>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</si>
  <si>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</si>
  <si>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</si>
  <si>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</si>
  <si>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</si>
  <si>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</si>
  <si>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</si>
  <si>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</si>
  <si>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</si>
  <si>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</si>
  <si>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</si>
  <si>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</si>
  <si>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</si>
  <si>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</si>
  <si>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</si>
  <si>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</si>
  <si>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</si>
  <si>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</si>
  <si>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</si>
  <si>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</si>
  <si>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</si>
  <si>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</si>
  <si>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</si>
  <si>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</si>
  <si>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</si>
  <si>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</si>
  <si>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</si>
  <si>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</si>
  <si>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</si>
  <si>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</si>
  <si>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</si>
  <si>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</si>
  <si>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</si>
  <si>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</si>
  <si>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</si>
  <si>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</si>
  <si>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</si>
  <si>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</si>
  <si>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</si>
  <si>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</si>
  <si>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</si>
  <si>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</si>
  <si>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</si>
  <si>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</si>
  <si>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</si>
  <si>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</si>
  <si>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</si>
  <si>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</si>
  <si>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</si>
  <si>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</si>
  <si>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</si>
  <si>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</si>
  <si>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</si>
  <si>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</si>
  <si>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</si>
  <si>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</si>
  <si>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</si>
  <si>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</si>
  <si>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</si>
  <si>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</si>
  <si>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</si>
  <si>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</si>
  <si>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</si>
  <si>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</si>
  <si>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</si>
  <si>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</si>
  <si>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</si>
  <si>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</si>
  <si>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</si>
  <si>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</si>
  <si>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</si>
  <si>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</si>
  <si>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</si>
  <si>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</si>
  <si>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</si>
  <si>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</si>
  <si>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</si>
  <si>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</si>
  <si>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</si>
  <si>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</si>
  <si>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</si>
  <si>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</si>
  <si>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</si>
  <si>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</si>
  <si>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</si>
  <si>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</si>
  <si>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</si>
  <si>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</si>
  <si>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</si>
  <si>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</si>
  <si>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</si>
  <si>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</si>
  <si>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</si>
  <si>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</si>
  <si>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</si>
  <si>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</si>
  <si>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</si>
  <si>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</si>
  <si>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</si>
  <si>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</si>
  <si>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</si>
  <si>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</si>
  <si>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</si>
  <si>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</si>
  <si>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</si>
  <si>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</si>
  <si>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</si>
  <si>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</si>
  <si>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</si>
  <si>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</si>
  <si>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</si>
  <si>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</si>
  <si>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</si>
  <si>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</si>
  <si>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</si>
  <si>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</si>
  <si>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</si>
  <si>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</si>
  <si>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</si>
  <si>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</si>
  <si>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</si>
  <si>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</si>
  <si>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</si>
  <si>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</si>
  <si>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</si>
  <si>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</si>
  <si>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</si>
  <si>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</si>
  <si>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</si>
  <si>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</si>
  <si>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</si>
  <si>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</si>
  <si>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</si>
  <si>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</si>
  <si>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</si>
  <si>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</si>
  <si>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</si>
  <si>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</si>
  <si>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</si>
  <si>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</si>
  <si>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</si>
  <si>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</si>
  <si>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</si>
  <si>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</si>
  <si>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</si>
  <si>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</si>
  <si>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</si>
  <si>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</si>
  <si>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</si>
  <si>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</si>
  <si>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</si>
  <si>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</si>
  <si>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</si>
  <si>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</si>
  <si>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</si>
  <si>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</si>
  <si>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</si>
  <si>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</si>
  <si>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</si>
  <si>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</si>
  <si>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</si>
  <si>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</si>
  <si>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</si>
  <si>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</si>
  <si>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</si>
  <si>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</si>
  <si>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</si>
  <si>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</si>
  <si>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</si>
  <si>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</si>
  <si>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</si>
  <si>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</si>
  <si>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</si>
  <si>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</si>
  <si>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</si>
  <si>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</si>
  <si>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</si>
  <si>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</si>
  <si>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</si>
  <si>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</si>
  <si>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</si>
  <si>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</si>
  <si>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</si>
  <si>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</si>
  <si>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</si>
  <si>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</si>
  <si>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</si>
  <si>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</si>
  <si>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</si>
  <si>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</si>
  <si>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</si>
  <si>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</si>
  <si>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</si>
  <si>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</si>
  <si>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</si>
  <si>
    <t>ISSUES FOR JULY</t>
  </si>
  <si>
    <t>07/11</t>
  </si>
  <si>
    <t>July-11</t>
  </si>
  <si>
    <t>IMA110S1</t>
  </si>
  <si>
    <t>Lear IMA Brownstown</t>
  </si>
  <si>
    <t>INT100S4</t>
  </si>
  <si>
    <t>INT100S1</t>
  </si>
  <si>
    <t xml:space="preserve">Magna -Louisville </t>
  </si>
  <si>
    <t>L0311775AA015B8</t>
  </si>
  <si>
    <t>Mustang</t>
  </si>
  <si>
    <t>Rattle</t>
  </si>
  <si>
    <t>Lear - IMA Brownstown</t>
  </si>
  <si>
    <t>L0311773AA01JAX / 5B8</t>
  </si>
  <si>
    <t>Incorrect bill of M</t>
  </si>
  <si>
    <t>PPM Cum   16.99</t>
  </si>
  <si>
    <t>08/11</t>
  </si>
  <si>
    <t>Aug-11</t>
  </si>
  <si>
    <t>ISSUES FOR AUGUST</t>
  </si>
  <si>
    <t>BU5A 96501B18BJ35B8</t>
  </si>
  <si>
    <t>3rd Row Manual</t>
  </si>
  <si>
    <t>blue certification mark transfer</t>
  </si>
  <si>
    <t>L0311773AA011TB</t>
  </si>
  <si>
    <t>glue between mech and EPP detaching</t>
  </si>
  <si>
    <t>trim cover coming loose from EPP</t>
  </si>
  <si>
    <t>BB53 78610A6BE</t>
  </si>
  <si>
    <t>HR front row</t>
  </si>
  <si>
    <t>PPM Cum   27.74</t>
  </si>
  <si>
    <t>ISSUES FOR SEPTEMBER</t>
  </si>
  <si>
    <t>Sept-11</t>
  </si>
  <si>
    <t>LEA477S1</t>
  </si>
  <si>
    <t>Lear Trim Mexican</t>
  </si>
  <si>
    <t>BG13 54610A60 AA D258</t>
  </si>
  <si>
    <t>Foam, Frame and Topper Pad</t>
  </si>
  <si>
    <t>excessive foam from base of headrest</t>
  </si>
  <si>
    <t>09/11</t>
  </si>
  <si>
    <t>2102911 P415 1st R</t>
  </si>
  <si>
    <t>TBD</t>
  </si>
  <si>
    <t>leg pitch out of spec</t>
  </si>
  <si>
    <t>D472 Program 1st row 4 way</t>
  </si>
  <si>
    <t>Foam, Frame and Trim</t>
  </si>
  <si>
    <t>mibble pebble with soho - mix trims-note that we only get one type of trim from Irvin</t>
  </si>
  <si>
    <t>JCI Shelbyville</t>
  </si>
  <si>
    <t>Intier/Magna</t>
  </si>
  <si>
    <t>PPM Cum    44.49</t>
  </si>
  <si>
    <t>Oct-11</t>
  </si>
  <si>
    <t>ISSUES FOR OCTOBER</t>
  </si>
  <si>
    <t>peeling chrome</t>
  </si>
  <si>
    <t>Rod has no retention</t>
  </si>
  <si>
    <t>Foam on h/r rod</t>
  </si>
  <si>
    <t>toper pad sticking to H/R rod</t>
  </si>
  <si>
    <t>10/11</t>
  </si>
  <si>
    <t>ISSUES FOR NOVEMBER</t>
  </si>
  <si>
    <t>Nov-11</t>
  </si>
  <si>
    <t>JOH330S1</t>
  </si>
  <si>
    <t>JCI Lerma Plant</t>
  </si>
  <si>
    <t>Notch location too low</t>
  </si>
  <si>
    <t>U38X 1st Row 4 Way</t>
  </si>
  <si>
    <t>Mixed Foam buns</t>
  </si>
  <si>
    <t>Rival Seaating</t>
  </si>
  <si>
    <t>4 Way Mech</t>
  </si>
  <si>
    <t>Leg skew out of Spec</t>
  </si>
  <si>
    <t>Incorrect Leg Spread</t>
  </si>
  <si>
    <t>Intier Mississauga</t>
  </si>
  <si>
    <t>Missing Notches</t>
  </si>
  <si>
    <t>11/11</t>
  </si>
  <si>
    <t>PPM Cum   61.5</t>
  </si>
  <si>
    <t>PPM Cum    67.9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</si>
</sst>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0" fillId="0" borderId="4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96E-2"/>
          <c:w val="0.79743030577967544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Chart!$F$15:$F$27</c:f>
              <c:strCache>
                <c:ptCount val="13"/>
                <c:pt idx="0">
                  <c:v>11/10</c:v>
                </c:pt>
                <c:pt idx="1">
                  <c:v>12/10</c:v>
                </c:pt>
                <c:pt idx="2">
                  <c:v>01/11</c:v>
                </c:pt>
                <c:pt idx="3">
                  <c:v>02/11</c:v>
                </c:pt>
                <c:pt idx="4">
                  <c:v>03/11</c:v>
                </c:pt>
                <c:pt idx="5">
                  <c:v>04/11</c:v>
                </c:pt>
                <c:pt idx="6">
                  <c:v>05/11</c:v>
                </c:pt>
                <c:pt idx="7">
                  <c:v>06/11</c:v>
                </c:pt>
                <c:pt idx="8">
                  <c:v>07/11</c:v>
                </c:pt>
                <c:pt idx="9">
                  <c:v>08/11</c:v>
                </c:pt>
                <c:pt idx="10">
                  <c:v>09/11</c:v>
                </c:pt>
                <c:pt idx="11">
                  <c:v>10/11</c:v>
                </c:pt>
                <c:pt idx="12">
                  <c:v>11/11</c:v>
                </c:pt>
              </c:strCache>
            </c:strRef>
          </c:cat>
          <c:val>
            <c:numRef>
              <c:f>Chart!$G$15:$G$27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Chart!$F$15:$F$27</c:f>
              <c:strCache>
                <c:ptCount val="13"/>
                <c:pt idx="0">
                  <c:v>11/10</c:v>
                </c:pt>
                <c:pt idx="1">
                  <c:v>12/10</c:v>
                </c:pt>
                <c:pt idx="2">
                  <c:v>01/11</c:v>
                </c:pt>
                <c:pt idx="3">
                  <c:v>02/11</c:v>
                </c:pt>
                <c:pt idx="4">
                  <c:v>03/11</c:v>
                </c:pt>
                <c:pt idx="5">
                  <c:v>04/11</c:v>
                </c:pt>
                <c:pt idx="6">
                  <c:v>05/11</c:v>
                </c:pt>
                <c:pt idx="7">
                  <c:v>06/11</c:v>
                </c:pt>
                <c:pt idx="8">
                  <c:v>07/11</c:v>
                </c:pt>
                <c:pt idx="9">
                  <c:v>08/11</c:v>
                </c:pt>
                <c:pt idx="10">
                  <c:v>09/11</c:v>
                </c:pt>
                <c:pt idx="11">
                  <c:v>10/11</c:v>
                </c:pt>
                <c:pt idx="12">
                  <c:v>11/11</c:v>
                </c:pt>
              </c:strCache>
            </c:strRef>
          </c:cat>
          <c:val>
            <c:numRef>
              <c:f>Chart!$H$15:$H$27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0.14000000000000001</c:v>
                </c:pt>
                <c:pt idx="2">
                  <c:v>2.504</c:v>
                </c:pt>
                <c:pt idx="3">
                  <c:v>8.2609999999999992</c:v>
                </c:pt>
                <c:pt idx="4">
                  <c:v>8.2609999999999992</c:v>
                </c:pt>
                <c:pt idx="5">
                  <c:v>12.82</c:v>
                </c:pt>
                <c:pt idx="6">
                  <c:v>16.739999999999998</c:v>
                </c:pt>
                <c:pt idx="7">
                  <c:v>16.739999999999998</c:v>
                </c:pt>
                <c:pt idx="8">
                  <c:v>16.989999999999998</c:v>
                </c:pt>
                <c:pt idx="9">
                  <c:v>27.74</c:v>
                </c:pt>
                <c:pt idx="10">
                  <c:v>44.49</c:v>
                </c:pt>
                <c:pt idx="11">
                  <c:v>61.49</c:v>
                </c:pt>
                <c:pt idx="12">
                  <c:v>67.91</c:v>
                </c:pt>
              </c:numCache>
            </c:numRef>
          </c:val>
        </c:ser>
        <c:marker val="1"/>
        <c:axId val="55636352"/>
        <c:axId val="55638272"/>
      </c:lineChart>
      <c:catAx>
        <c:axId val="5563635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272"/>
        <c:crosses val="autoZero"/>
        <c:auto val="1"/>
        <c:lblAlgn val="ctr"/>
        <c:lblOffset val="100"/>
        <c:tickLblSkip val="1"/>
        <c:tickMarkSkip val="1"/>
      </c:catAx>
      <c:valAx>
        <c:axId val="5563827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399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6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686"/>
          <c:w val="0.11071330589849095"/>
          <c:h val="7.7682137122418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7"/>
  <sheetViews>
    <sheetView tabSelected="1" workbookViewId="0">
      <selection activeCell="H26" sqref="H26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205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206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212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221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222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225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227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228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229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232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233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234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236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244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248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253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260</v>
      </c>
      <c r="G21" s="9">
        <v>25</v>
      </c>
      <c r="H21" s="9">
        <v>16.739999999999998</v>
      </c>
    </row>
    <row r="22" spans="2:8">
      <c r="F22" s="11" t="s">
        <v>264</v>
      </c>
      <c r="G22" s="9">
        <v>25</v>
      </c>
      <c r="H22" s="9">
        <v>16.739999999999998</v>
      </c>
    </row>
    <row r="23" spans="2:8">
      <c r="F23" s="11" t="s">
        <v>269</v>
      </c>
      <c r="G23" s="9">
        <v>25</v>
      </c>
      <c r="H23" s="9">
        <v>16.989999999999998</v>
      </c>
    </row>
    <row r="24" spans="2:8">
      <c r="F24" s="11" t="s">
        <v>283</v>
      </c>
      <c r="G24" s="9">
        <v>25</v>
      </c>
      <c r="H24" s="9">
        <v>27.74</v>
      </c>
    </row>
    <row r="25" spans="2:8">
      <c r="F25" s="11" t="s">
        <v>302</v>
      </c>
      <c r="G25" s="9">
        <v>25</v>
      </c>
      <c r="H25" s="9">
        <v>44.49</v>
      </c>
    </row>
    <row r="26" spans="2:8">
      <c r="F26" s="11" t="s">
        <v>318</v>
      </c>
      <c r="G26" s="9">
        <v>25</v>
      </c>
      <c r="H26" s="9">
        <v>61.49</v>
      </c>
    </row>
    <row r="27" spans="2:8">
      <c r="F27" s="11" t="s">
        <v>332</v>
      </c>
      <c r="G27" s="9">
        <v>25</v>
      </c>
      <c r="H27" s="9">
        <v>67.91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5"/>
  <sheetViews>
    <sheetView zoomScaleNormal="100" zoomScaleSheetLayoutView="100" workbookViewId="0">
      <pane xSplit="2" ySplit="2" topLeftCell="O105" activePane="bottomRight" state="frozen"/>
      <selection pane="topRight" activeCell="C1" sqref="C1"/>
      <selection pane="bottomLeft" activeCell="A2" sqref="A2"/>
      <selection pane="bottomRight" activeCell="AG115" sqref="AG115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235</v>
      </c>
      <c r="D2" s="30" t="s">
        <v>6</v>
      </c>
      <c r="E2" s="30" t="s">
        <v>1</v>
      </c>
      <c r="F2" s="29" t="s">
        <v>238</v>
      </c>
      <c r="G2" s="30" t="s">
        <v>6</v>
      </c>
      <c r="H2" s="30" t="s">
        <v>1</v>
      </c>
      <c r="I2" s="29" t="s">
        <v>246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258</v>
      </c>
      <c r="P2" s="30" t="s">
        <v>6</v>
      </c>
      <c r="Q2" s="30" t="s">
        <v>1</v>
      </c>
      <c r="R2" s="29" t="s">
        <v>261</v>
      </c>
      <c r="S2" s="30" t="s">
        <v>6</v>
      </c>
      <c r="T2" s="30" t="s">
        <v>1</v>
      </c>
      <c r="U2" s="29" t="s">
        <v>270</v>
      </c>
      <c r="V2" s="30" t="s">
        <v>6</v>
      </c>
      <c r="W2" s="30" t="s">
        <v>1</v>
      </c>
      <c r="X2" s="29" t="s">
        <v>284</v>
      </c>
      <c r="Y2" s="30" t="s">
        <v>6</v>
      </c>
      <c r="Z2" s="30" t="s">
        <v>1</v>
      </c>
      <c r="AA2" s="29" t="s">
        <v>296</v>
      </c>
      <c r="AB2" s="30" t="s">
        <v>6</v>
      </c>
      <c r="AC2" s="30" t="s">
        <v>1</v>
      </c>
      <c r="AD2" s="29" t="s">
        <v>312</v>
      </c>
      <c r="AE2" s="30" t="s">
        <v>6</v>
      </c>
      <c r="AF2" s="30" t="s">
        <v>1</v>
      </c>
      <c r="AG2" s="29" t="s">
        <v>320</v>
      </c>
      <c r="AH2" s="30" t="s">
        <v>6</v>
      </c>
      <c r="AI2" s="30" t="s">
        <v>1</v>
      </c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39"/>
      <c r="D4" s="39"/>
      <c r="E4" s="39"/>
    </row>
    <row r="5" spans="1:38">
      <c r="A5" s="18" t="s">
        <v>66</v>
      </c>
      <c r="B5" s="12" t="s">
        <v>46</v>
      </c>
      <c r="C5" s="39"/>
      <c r="D5" s="39"/>
      <c r="E5" s="39"/>
      <c r="L5" s="18">
        <v>4800</v>
      </c>
    </row>
    <row r="6" spans="1:38">
      <c r="A6" s="18" t="s">
        <v>154</v>
      </c>
      <c r="B6" s="12" t="s">
        <v>155</v>
      </c>
      <c r="C6" s="39"/>
      <c r="D6" s="39"/>
      <c r="E6" s="39"/>
    </row>
    <row r="7" spans="1:38">
      <c r="A7" s="18" t="s">
        <v>150</v>
      </c>
      <c r="B7" s="12" t="s">
        <v>151</v>
      </c>
      <c r="C7" s="39">
        <v>1500</v>
      </c>
      <c r="D7" s="39"/>
      <c r="E7" s="39"/>
      <c r="R7" s="18">
        <v>1150</v>
      </c>
      <c r="AD7" s="18">
        <v>2000</v>
      </c>
    </row>
    <row r="8" spans="1:38">
      <c r="A8" s="18" t="s">
        <v>67</v>
      </c>
      <c r="B8" s="12" t="s">
        <v>52</v>
      </c>
      <c r="C8" s="39">
        <v>70882</v>
      </c>
      <c r="D8" s="39"/>
      <c r="E8" s="39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  <c r="U8" s="18">
        <v>51274</v>
      </c>
      <c r="X8" s="18">
        <v>102410</v>
      </c>
      <c r="AA8" s="18">
        <v>98112</v>
      </c>
      <c r="AD8" s="18">
        <v>92692</v>
      </c>
      <c r="AG8" s="18">
        <f>91796+6</f>
        <v>91802</v>
      </c>
    </row>
    <row r="9" spans="1:38">
      <c r="A9" s="18" t="s">
        <v>187</v>
      </c>
      <c r="B9" s="12" t="s">
        <v>188</v>
      </c>
      <c r="C9" s="39"/>
      <c r="D9" s="39"/>
      <c r="E9" s="39"/>
    </row>
    <row r="10" spans="1:38">
      <c r="A10" s="18" t="s">
        <v>162</v>
      </c>
      <c r="B10" s="12" t="s">
        <v>163</v>
      </c>
      <c r="C10" s="39"/>
      <c r="D10" s="39"/>
      <c r="E10" s="39"/>
    </row>
    <row r="11" spans="1:38">
      <c r="A11" s="18" t="s">
        <v>68</v>
      </c>
      <c r="B11" s="12" t="s">
        <v>25</v>
      </c>
      <c r="C11" s="39">
        <v>40000</v>
      </c>
      <c r="D11" s="39"/>
      <c r="E11" s="39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  <c r="U11" s="18">
        <v>40000</v>
      </c>
      <c r="X11" s="18">
        <v>20000</v>
      </c>
      <c r="AA11" s="18">
        <v>40000</v>
      </c>
      <c r="AD11" s="18">
        <v>40000</v>
      </c>
      <c r="AG11" s="18">
        <v>40000</v>
      </c>
    </row>
    <row r="12" spans="1:38">
      <c r="A12" s="18" t="s">
        <v>148</v>
      </c>
      <c r="B12" s="12" t="s">
        <v>149</v>
      </c>
      <c r="C12" s="39"/>
      <c r="D12" s="39"/>
      <c r="E12" s="39"/>
    </row>
    <row r="13" spans="1:38">
      <c r="A13" s="18" t="s">
        <v>143</v>
      </c>
      <c r="B13" s="12" t="s">
        <v>144</v>
      </c>
      <c r="C13" s="39"/>
      <c r="D13" s="39"/>
      <c r="E13" s="39"/>
      <c r="L13" s="18">
        <v>1440</v>
      </c>
      <c r="O13" s="18">
        <v>864</v>
      </c>
      <c r="R13" s="18">
        <v>288</v>
      </c>
      <c r="U13" s="18">
        <v>432</v>
      </c>
      <c r="X13" s="18">
        <v>576</v>
      </c>
      <c r="AG13" s="18">
        <v>720</v>
      </c>
    </row>
    <row r="14" spans="1:38">
      <c r="A14" s="18" t="s">
        <v>185</v>
      </c>
      <c r="B14" s="12" t="s">
        <v>186</v>
      </c>
      <c r="C14" s="39"/>
      <c r="D14" s="39"/>
      <c r="E14" s="39"/>
    </row>
    <row r="15" spans="1:38">
      <c r="A15" s="18" t="s">
        <v>191</v>
      </c>
      <c r="B15" s="12" t="s">
        <v>192</v>
      </c>
      <c r="C15" s="39"/>
      <c r="D15" s="39"/>
      <c r="E15" s="39"/>
    </row>
    <row r="16" spans="1:38">
      <c r="A16" s="18" t="s">
        <v>69</v>
      </c>
      <c r="B16" s="12" t="s">
        <v>56</v>
      </c>
      <c r="C16" s="39"/>
      <c r="D16" s="39"/>
      <c r="E16" s="39"/>
    </row>
    <row r="17" spans="1:33">
      <c r="A17" s="18" t="s">
        <v>124</v>
      </c>
      <c r="B17" s="12" t="s">
        <v>125</v>
      </c>
      <c r="C17" s="39"/>
      <c r="D17" s="39"/>
      <c r="E17" s="39"/>
    </row>
    <row r="18" spans="1:33">
      <c r="A18" s="18" t="s">
        <v>70</v>
      </c>
      <c r="B18" s="12" t="s">
        <v>213</v>
      </c>
      <c r="C18" s="39">
        <f>38500+5000</f>
        <v>43500</v>
      </c>
      <c r="D18" s="39"/>
      <c r="E18" s="39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  <c r="U18" s="18">
        <f>17500+5000</f>
        <v>22500</v>
      </c>
      <c r="X18" s="18">
        <f>33866+5000</f>
        <v>38866</v>
      </c>
      <c r="AA18" s="18">
        <f>22234+7500</f>
        <v>29734</v>
      </c>
      <c r="AD18" s="18">
        <f>38500+7500</f>
        <v>46000</v>
      </c>
      <c r="AG18" s="18">
        <f>17500+7500</f>
        <v>25000</v>
      </c>
    </row>
    <row r="19" spans="1:33">
      <c r="A19" s="18" t="s">
        <v>160</v>
      </c>
      <c r="B19" s="12" t="s">
        <v>61</v>
      </c>
      <c r="C19" s="39"/>
      <c r="D19" s="39"/>
      <c r="E19" s="39"/>
    </row>
    <row r="20" spans="1:33">
      <c r="A20" s="18" t="s">
        <v>71</v>
      </c>
      <c r="B20" s="12" t="s">
        <v>37</v>
      </c>
      <c r="C20" s="39"/>
      <c r="D20" s="39"/>
      <c r="E20" s="39"/>
    </row>
    <row r="21" spans="1:33" ht="12" customHeight="1">
      <c r="A21" s="18" t="s">
        <v>106</v>
      </c>
      <c r="B21" s="38" t="s">
        <v>34</v>
      </c>
      <c r="C21" s="39"/>
      <c r="D21" s="39"/>
      <c r="E21" s="39"/>
      <c r="O21" s="18">
        <v>4000</v>
      </c>
      <c r="X21" s="18">
        <v>4000</v>
      </c>
    </row>
    <row r="22" spans="1:33">
      <c r="A22" s="18" t="s">
        <v>105</v>
      </c>
      <c r="B22" s="38" t="s">
        <v>53</v>
      </c>
      <c r="C22" s="39"/>
      <c r="D22" s="39"/>
      <c r="E22" s="39"/>
    </row>
    <row r="23" spans="1:33">
      <c r="A23" s="18" t="s">
        <v>201</v>
      </c>
      <c r="B23" s="38" t="s">
        <v>202</v>
      </c>
      <c r="C23" s="39"/>
      <c r="D23" s="39"/>
      <c r="E23" s="39"/>
    </row>
    <row r="24" spans="1:33">
      <c r="A24" s="18" t="s">
        <v>72</v>
      </c>
      <c r="B24" s="12" t="s">
        <v>31</v>
      </c>
      <c r="C24" s="39"/>
      <c r="D24" s="39"/>
      <c r="E24" s="39"/>
      <c r="F24" s="18">
        <v>9500</v>
      </c>
      <c r="I24" s="18">
        <v>2750</v>
      </c>
      <c r="L24" s="18">
        <v>4000</v>
      </c>
      <c r="R24" s="18">
        <v>8000</v>
      </c>
      <c r="U24" s="18">
        <v>3000</v>
      </c>
      <c r="AA24" s="18">
        <v>8000</v>
      </c>
      <c r="AD24" s="18">
        <v>8000</v>
      </c>
      <c r="AG24" s="18">
        <v>6500</v>
      </c>
    </row>
    <row r="25" spans="1:33">
      <c r="A25" s="18" t="s">
        <v>107</v>
      </c>
      <c r="B25" s="12" t="s">
        <v>26</v>
      </c>
      <c r="C25" s="39"/>
      <c r="D25" s="39"/>
      <c r="E25" s="39"/>
    </row>
    <row r="26" spans="1:33">
      <c r="A26" s="18" t="s">
        <v>73</v>
      </c>
      <c r="B26" s="12" t="s">
        <v>45</v>
      </c>
      <c r="C26" s="39">
        <v>3000</v>
      </c>
      <c r="D26" s="39"/>
      <c r="E26" s="39"/>
    </row>
    <row r="27" spans="1:33">
      <c r="A27" s="18" t="s">
        <v>74</v>
      </c>
      <c r="B27" s="12" t="s">
        <v>54</v>
      </c>
      <c r="C27" s="39"/>
      <c r="D27" s="39"/>
      <c r="E27" s="39"/>
    </row>
    <row r="28" spans="1:33">
      <c r="A28" s="18" t="s">
        <v>75</v>
      </c>
      <c r="B28" s="12" t="s">
        <v>49</v>
      </c>
      <c r="C28" s="39">
        <v>29100</v>
      </c>
      <c r="D28" s="39"/>
      <c r="E28" s="40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  <c r="U28" s="18">
        <v>23301</v>
      </c>
      <c r="X28" s="18">
        <v>46700</v>
      </c>
      <c r="AA28" s="18">
        <v>40900</v>
      </c>
      <c r="AD28" s="18">
        <v>33099</v>
      </c>
      <c r="AG28" s="18">
        <v>44200</v>
      </c>
    </row>
    <row r="29" spans="1:33">
      <c r="A29" s="18" t="s">
        <v>114</v>
      </c>
      <c r="B29" s="12" t="s">
        <v>115</v>
      </c>
      <c r="C29" s="39">
        <v>83681</v>
      </c>
      <c r="D29" s="39"/>
      <c r="E29" s="39"/>
      <c r="R29" s="18">
        <f>88800+1</f>
        <v>88801</v>
      </c>
    </row>
    <row r="30" spans="1:33">
      <c r="A30" s="18" t="s">
        <v>76</v>
      </c>
      <c r="B30" s="12" t="s">
        <v>20</v>
      </c>
      <c r="C30" s="39"/>
      <c r="D30" s="17"/>
      <c r="E30" s="42"/>
      <c r="F30" s="18">
        <v>94800</v>
      </c>
      <c r="I30" s="18">
        <v>108600</v>
      </c>
      <c r="L30" s="18">
        <v>99600</v>
      </c>
      <c r="O30" s="18">
        <v>140400</v>
      </c>
      <c r="U30" s="18">
        <v>57600</v>
      </c>
      <c r="X30" s="18">
        <v>126000</v>
      </c>
      <c r="AA30" s="18">
        <v>101100</v>
      </c>
      <c r="AD30" s="18">
        <v>129000</v>
      </c>
      <c r="AG30" s="18">
        <v>90600</v>
      </c>
    </row>
    <row r="31" spans="1:33">
      <c r="A31" s="18" t="s">
        <v>108</v>
      </c>
      <c r="B31" s="12" t="s">
        <v>7</v>
      </c>
      <c r="C31" s="39">
        <v>1672</v>
      </c>
      <c r="D31" s="39"/>
      <c r="E31" s="39"/>
      <c r="F31" s="47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  <c r="U31" s="18">
        <f>300+10</f>
        <v>310</v>
      </c>
      <c r="X31" s="18">
        <v>1100</v>
      </c>
      <c r="AA31" s="18">
        <v>1600</v>
      </c>
      <c r="AD31" s="18">
        <v>1100</v>
      </c>
      <c r="AG31" s="18">
        <v>1700</v>
      </c>
    </row>
    <row r="32" spans="1:33">
      <c r="A32" s="18" t="s">
        <v>78</v>
      </c>
      <c r="B32" s="12" t="s">
        <v>29</v>
      </c>
      <c r="C32" s="39">
        <v>9504</v>
      </c>
      <c r="D32" s="39"/>
      <c r="E32" s="39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  <c r="U32" s="18">
        <v>6480</v>
      </c>
      <c r="X32" s="18">
        <v>14112</v>
      </c>
      <c r="AA32" s="18">
        <v>14304</v>
      </c>
      <c r="AD32" s="18">
        <v>12960</v>
      </c>
      <c r="AG32" s="18">
        <v>10656</v>
      </c>
    </row>
    <row r="33" spans="1:33">
      <c r="A33" s="18" t="s">
        <v>77</v>
      </c>
      <c r="B33" s="12" t="s">
        <v>38</v>
      </c>
      <c r="C33" s="39">
        <v>21450</v>
      </c>
      <c r="D33" s="39"/>
      <c r="E33" s="39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  <c r="U33" s="18">
        <v>12100</v>
      </c>
      <c r="X33" s="18">
        <v>23300</v>
      </c>
      <c r="AA33" s="18">
        <v>16700</v>
      </c>
      <c r="AD33" s="18">
        <v>14072</v>
      </c>
      <c r="AG33" s="18">
        <v>19500</v>
      </c>
    </row>
    <row r="34" spans="1:33">
      <c r="A34" s="18" t="s">
        <v>79</v>
      </c>
      <c r="B34" s="12" t="s">
        <v>146</v>
      </c>
      <c r="C34" s="39">
        <v>32040</v>
      </c>
      <c r="D34" s="39"/>
      <c r="E34" s="39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  <c r="U34" s="18">
        <v>15600</v>
      </c>
      <c r="X34" s="18">
        <v>29780</v>
      </c>
      <c r="AA34" s="18">
        <v>24720</v>
      </c>
      <c r="AD34" s="18">
        <v>27560</v>
      </c>
      <c r="AG34" s="64">
        <v>27163</v>
      </c>
    </row>
    <row r="35" spans="1:33">
      <c r="A35" s="36" t="s">
        <v>135</v>
      </c>
      <c r="B35" s="12" t="s">
        <v>59</v>
      </c>
      <c r="C35" s="39"/>
      <c r="D35" s="39"/>
      <c r="E35" s="39"/>
      <c r="AG35" s="64">
        <v>8</v>
      </c>
    </row>
    <row r="36" spans="1:33">
      <c r="A36" s="55" t="s">
        <v>223</v>
      </c>
      <c r="B36" s="12" t="s">
        <v>224</v>
      </c>
      <c r="C36" s="39">
        <f>1+19+82+400+20+5+14</f>
        <v>541</v>
      </c>
      <c r="D36" s="39"/>
      <c r="E36" s="39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  <c r="U36" s="18">
        <f>15+62+1</f>
        <v>78</v>
      </c>
      <c r="X36" s="18">
        <f>117+40</f>
        <v>157</v>
      </c>
      <c r="AA36" s="18">
        <f>10+36</f>
        <v>46</v>
      </c>
      <c r="AD36" s="18">
        <f>98+3+1+12+12</f>
        <v>126</v>
      </c>
      <c r="AG36" s="64">
        <v>36</v>
      </c>
    </row>
    <row r="37" spans="1:33">
      <c r="A37" s="55" t="s">
        <v>230</v>
      </c>
      <c r="B37" s="12" t="s">
        <v>231</v>
      </c>
      <c r="C37" s="39"/>
      <c r="D37" s="39"/>
      <c r="E37" s="39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  <c r="U37" s="18">
        <v>960</v>
      </c>
      <c r="X37" s="18">
        <v>960</v>
      </c>
      <c r="AA37" s="18">
        <v>960</v>
      </c>
      <c r="AD37" s="18">
        <v>960</v>
      </c>
    </row>
    <row r="38" spans="1:33">
      <c r="A38" s="18" t="s">
        <v>80</v>
      </c>
      <c r="B38" s="12" t="s">
        <v>2</v>
      </c>
      <c r="C38" s="39">
        <f>269+200</f>
        <v>469</v>
      </c>
      <c r="D38" s="39"/>
      <c r="E38" s="39"/>
      <c r="I38" s="18">
        <f>3000+100</f>
        <v>3100</v>
      </c>
      <c r="R38" s="18">
        <v>100</v>
      </c>
      <c r="U38" s="18">
        <f>250+100</f>
        <v>350</v>
      </c>
    </row>
    <row r="39" spans="1:33">
      <c r="A39" s="18" t="s">
        <v>164</v>
      </c>
      <c r="B39" s="12" t="s">
        <v>165</v>
      </c>
      <c r="C39" s="39"/>
      <c r="D39" s="17"/>
      <c r="E39" s="42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33">
      <c r="A40" s="18" t="s">
        <v>81</v>
      </c>
      <c r="B40" s="12" t="s">
        <v>28</v>
      </c>
      <c r="C40" s="39"/>
      <c r="D40" s="39"/>
      <c r="E40" s="39"/>
    </row>
    <row r="41" spans="1:33">
      <c r="A41" s="47" t="s">
        <v>193</v>
      </c>
      <c r="B41" s="12" t="s">
        <v>194</v>
      </c>
      <c r="C41" s="39">
        <v>15</v>
      </c>
      <c r="D41" s="39"/>
      <c r="E41" s="39"/>
      <c r="F41" s="18">
        <v>75</v>
      </c>
      <c r="I41" s="18">
        <v>20</v>
      </c>
      <c r="L41" s="18">
        <v>51</v>
      </c>
      <c r="O41" s="18">
        <v>90</v>
      </c>
      <c r="R41" s="18">
        <v>27</v>
      </c>
      <c r="U41" s="18">
        <v>41</v>
      </c>
      <c r="X41" s="18">
        <v>24</v>
      </c>
      <c r="AA41" s="18">
        <f>80+30</f>
        <v>110</v>
      </c>
      <c r="AD41" s="18">
        <v>16</v>
      </c>
    </row>
    <row r="42" spans="1:33">
      <c r="A42" s="18" t="s">
        <v>195</v>
      </c>
      <c r="B42" s="12" t="s">
        <v>198</v>
      </c>
      <c r="C42" s="39"/>
      <c r="D42" s="39"/>
      <c r="E42" s="39"/>
    </row>
    <row r="43" spans="1:33" hidden="1">
      <c r="A43" s="18" t="s">
        <v>210</v>
      </c>
      <c r="B43" s="12" t="s">
        <v>203</v>
      </c>
      <c r="C43" s="39"/>
      <c r="D43" s="39"/>
      <c r="E43" s="39"/>
    </row>
    <row r="44" spans="1:33">
      <c r="A44" s="18" t="s">
        <v>126</v>
      </c>
      <c r="B44" s="12" t="s">
        <v>127</v>
      </c>
      <c r="C44" s="39">
        <v>23667</v>
      </c>
      <c r="D44" s="39"/>
      <c r="E44" s="39"/>
      <c r="F44" s="18">
        <v>11304</v>
      </c>
      <c r="I44" s="18">
        <v>13086</v>
      </c>
      <c r="L44" s="18">
        <f>5+21493+50</f>
        <v>21548</v>
      </c>
      <c r="O44" s="18">
        <v>22715</v>
      </c>
      <c r="R44" s="18">
        <f>15523+8</f>
        <v>15531</v>
      </c>
      <c r="U44" s="18">
        <v>10598</v>
      </c>
      <c r="X44" s="18">
        <v>15320</v>
      </c>
      <c r="AA44" s="18">
        <f>18+212+14937</f>
        <v>15167</v>
      </c>
      <c r="AD44" s="18">
        <f>25889+78</f>
        <v>25967</v>
      </c>
      <c r="AG44" s="18">
        <f>1994+57606+17166</f>
        <v>76766</v>
      </c>
    </row>
    <row r="45" spans="1:33">
      <c r="A45" s="18" t="s">
        <v>82</v>
      </c>
      <c r="B45" s="12" t="s">
        <v>36</v>
      </c>
      <c r="C45" s="39">
        <v>170969</v>
      </c>
      <c r="D45" s="39"/>
      <c r="E45" s="39"/>
      <c r="F45" s="18">
        <v>190317</v>
      </c>
      <c r="I45" s="18">
        <v>348450</v>
      </c>
      <c r="L45" s="18">
        <v>127643</v>
      </c>
      <c r="O45" s="18">
        <v>179094</v>
      </c>
      <c r="R45" s="18">
        <v>287109</v>
      </c>
      <c r="U45" s="18">
        <v>81687</v>
      </c>
      <c r="X45" s="18">
        <v>279867</v>
      </c>
      <c r="AA45" s="18">
        <v>211727</v>
      </c>
      <c r="AD45" s="18">
        <v>194000</v>
      </c>
      <c r="AG45" s="18">
        <v>224697</v>
      </c>
    </row>
    <row r="46" spans="1:33">
      <c r="B46" s="12" t="s">
        <v>214</v>
      </c>
      <c r="C46" s="39"/>
      <c r="D46" s="39"/>
      <c r="E46" s="39"/>
    </row>
    <row r="47" spans="1:33">
      <c r="A47" s="18" t="s">
        <v>83</v>
      </c>
      <c r="B47" s="12" t="s">
        <v>19</v>
      </c>
      <c r="C47" s="39"/>
      <c r="D47" s="39"/>
      <c r="E47" s="39"/>
    </row>
    <row r="48" spans="1:33">
      <c r="A48" s="18" t="s">
        <v>168</v>
      </c>
      <c r="B48" s="12" t="s">
        <v>44</v>
      </c>
      <c r="C48" s="39">
        <v>3</v>
      </c>
      <c r="D48" s="39"/>
      <c r="E48" s="39"/>
      <c r="L48" s="18">
        <f>1+40+25914+32746</f>
        <v>58701</v>
      </c>
      <c r="R48" s="18">
        <v>10</v>
      </c>
      <c r="U48" s="18">
        <f>116+16+100</f>
        <v>232</v>
      </c>
      <c r="X48" s="18">
        <f>2+1+100+4+2</f>
        <v>109</v>
      </c>
      <c r="AA48" s="18">
        <f>14+240</f>
        <v>254</v>
      </c>
      <c r="AD48" s="18">
        <f>12</f>
        <v>12</v>
      </c>
      <c r="AG48" s="18">
        <f>2</f>
        <v>2</v>
      </c>
    </row>
    <row r="49" spans="1:35">
      <c r="A49" s="18" t="s">
        <v>166</v>
      </c>
      <c r="B49" s="12" t="s">
        <v>215</v>
      </c>
      <c r="C49" s="39"/>
      <c r="D49" s="39"/>
      <c r="E49" s="39"/>
      <c r="R49" s="18">
        <f>33664+50532</f>
        <v>84196</v>
      </c>
      <c r="AA49" s="18">
        <f>48+12720+36</f>
        <v>12804</v>
      </c>
      <c r="AD49" s="18">
        <v>144</v>
      </c>
    </row>
    <row r="50" spans="1:35">
      <c r="A50" s="18" t="s">
        <v>216</v>
      </c>
      <c r="B50" s="12" t="s">
        <v>217</v>
      </c>
      <c r="C50" s="39">
        <v>8496</v>
      </c>
      <c r="D50" s="39"/>
      <c r="E50" s="39"/>
      <c r="F50" s="18">
        <f>25+2808</f>
        <v>2833</v>
      </c>
      <c r="I50" s="18">
        <v>6984</v>
      </c>
      <c r="L50" s="18">
        <v>4968</v>
      </c>
      <c r="O50" s="18">
        <v>95</v>
      </c>
      <c r="R50" s="18">
        <v>1830</v>
      </c>
      <c r="U50" s="18">
        <v>2004</v>
      </c>
      <c r="X50" s="18">
        <v>9191</v>
      </c>
      <c r="AA50" s="18">
        <f>4+24912</f>
        <v>24916</v>
      </c>
      <c r="AD50" s="18">
        <v>26784</v>
      </c>
      <c r="AG50" s="18">
        <v>22032</v>
      </c>
    </row>
    <row r="51" spans="1:35">
      <c r="A51" s="18" t="s">
        <v>167</v>
      </c>
      <c r="B51" s="12" t="s">
        <v>169</v>
      </c>
      <c r="C51" s="39"/>
      <c r="D51" s="39"/>
      <c r="E51" s="39"/>
      <c r="F51" s="18">
        <v>29274</v>
      </c>
      <c r="I51" s="18">
        <v>39044</v>
      </c>
      <c r="O51" s="18">
        <v>34924</v>
      </c>
      <c r="X51" s="18">
        <v>29048</v>
      </c>
      <c r="AD51" s="18">
        <v>9264</v>
      </c>
      <c r="AG51" s="18">
        <v>32380</v>
      </c>
    </row>
    <row r="52" spans="1:35">
      <c r="A52" s="18" t="s">
        <v>218</v>
      </c>
      <c r="B52" s="12" t="s">
        <v>30</v>
      </c>
      <c r="C52" s="39">
        <v>26670</v>
      </c>
      <c r="D52" s="39"/>
      <c r="E52" s="39"/>
      <c r="U52" s="18">
        <v>28510</v>
      </c>
      <c r="AA52" s="18">
        <v>32004</v>
      </c>
      <c r="AD52" s="18">
        <v>39986</v>
      </c>
    </row>
    <row r="53" spans="1:35">
      <c r="A53" s="18" t="s">
        <v>219</v>
      </c>
      <c r="B53" s="12" t="s">
        <v>220</v>
      </c>
      <c r="C53" s="39">
        <v>18052</v>
      </c>
      <c r="D53" s="39"/>
      <c r="E53" s="39"/>
      <c r="F53" s="18">
        <v>40572</v>
      </c>
      <c r="I53" s="18">
        <f>50+51660</f>
        <v>51710</v>
      </c>
      <c r="O53" s="18">
        <v>42200</v>
      </c>
      <c r="U53" s="18">
        <v>24132</v>
      </c>
      <c r="X53" s="18">
        <v>48726</v>
      </c>
      <c r="AA53" s="18">
        <v>35627</v>
      </c>
      <c r="AD53" s="18">
        <v>40452</v>
      </c>
      <c r="AG53" s="18">
        <v>42336</v>
      </c>
    </row>
    <row r="54" spans="1:35">
      <c r="A54" s="18" t="s">
        <v>84</v>
      </c>
      <c r="B54" s="12" t="s">
        <v>200</v>
      </c>
      <c r="C54" s="39">
        <v>38284</v>
      </c>
      <c r="D54" s="39"/>
      <c r="E54" s="39"/>
      <c r="F54" s="18">
        <v>21168</v>
      </c>
      <c r="I54" s="18">
        <f>30867+51</f>
        <v>30918</v>
      </c>
      <c r="L54" s="18">
        <f>1+20031</f>
        <v>20032</v>
      </c>
      <c r="O54" s="18">
        <v>22503</v>
      </c>
      <c r="R54" s="18">
        <v>27874</v>
      </c>
      <c r="U54" s="18">
        <v>14221</v>
      </c>
      <c r="V54" s="18" t="s">
        <v>64</v>
      </c>
      <c r="X54" s="18">
        <v>21504</v>
      </c>
      <c r="AA54" s="18">
        <v>31340</v>
      </c>
      <c r="AD54" s="18">
        <v>26208</v>
      </c>
      <c r="AG54" s="64">
        <v>31176</v>
      </c>
    </row>
    <row r="55" spans="1:35">
      <c r="A55" s="64" t="s">
        <v>321</v>
      </c>
      <c r="B55" s="65" t="s">
        <v>322</v>
      </c>
      <c r="C55" s="39"/>
      <c r="D55" s="39"/>
      <c r="E55" s="39"/>
      <c r="AG55" s="64">
        <v>3244</v>
      </c>
    </row>
    <row r="56" spans="1:35">
      <c r="A56" s="18" t="s">
        <v>85</v>
      </c>
      <c r="B56" s="12" t="s">
        <v>18</v>
      </c>
      <c r="C56" s="39"/>
      <c r="D56" s="39"/>
      <c r="E56" s="39"/>
    </row>
    <row r="57" spans="1:35">
      <c r="A57" s="18" t="s">
        <v>128</v>
      </c>
      <c r="B57" s="12" t="s">
        <v>129</v>
      </c>
      <c r="C57" s="39"/>
      <c r="D57" s="39"/>
      <c r="E57" s="39"/>
    </row>
    <row r="58" spans="1:35">
      <c r="A58" s="47" t="s">
        <v>271</v>
      </c>
      <c r="B58" s="12" t="s">
        <v>272</v>
      </c>
      <c r="C58" s="39"/>
      <c r="D58" s="39"/>
      <c r="E58" s="39"/>
      <c r="U58" s="18">
        <v>14038</v>
      </c>
      <c r="V58" s="18">
        <v>3</v>
      </c>
      <c r="X58" s="18">
        <v>13734</v>
      </c>
      <c r="AA58" s="18">
        <v>13160</v>
      </c>
      <c r="AD58" s="18">
        <v>12212</v>
      </c>
      <c r="AG58" s="18">
        <v>11848</v>
      </c>
    </row>
    <row r="59" spans="1:35">
      <c r="A59" s="18" t="s">
        <v>86</v>
      </c>
      <c r="B59" s="12" t="s">
        <v>50</v>
      </c>
      <c r="C59" s="39">
        <v>8</v>
      </c>
      <c r="D59" s="39"/>
      <c r="E59" s="39"/>
    </row>
    <row r="60" spans="1:35">
      <c r="A60" s="18" t="s">
        <v>87</v>
      </c>
      <c r="B60" s="12" t="s">
        <v>39</v>
      </c>
      <c r="C60" s="39"/>
      <c r="D60" s="39"/>
      <c r="E60" s="39"/>
    </row>
    <row r="61" spans="1:35">
      <c r="A61" s="18" t="s">
        <v>88</v>
      </c>
      <c r="B61" s="12" t="s">
        <v>8</v>
      </c>
      <c r="C61" s="39"/>
      <c r="D61" s="39"/>
      <c r="E61" s="39"/>
      <c r="F61" s="18">
        <v>41</v>
      </c>
      <c r="I61" s="18">
        <f>102+312</f>
        <v>414</v>
      </c>
      <c r="O61" s="18">
        <f>95+2+22892</f>
        <v>22989</v>
      </c>
      <c r="X61" s="18">
        <v>65</v>
      </c>
      <c r="AA61" s="18">
        <f>20</f>
        <v>20</v>
      </c>
      <c r="AD61" s="18" t="s">
        <v>64</v>
      </c>
    </row>
    <row r="62" spans="1:35">
      <c r="A62" s="18" t="s">
        <v>89</v>
      </c>
      <c r="B62" s="38" t="s">
        <v>23</v>
      </c>
      <c r="C62" s="39">
        <f>25300+14912+11484</f>
        <v>51696</v>
      </c>
      <c r="D62" s="39">
        <v>30</v>
      </c>
      <c r="E62" s="39">
        <f>+D62/C62*1000000</f>
        <v>580.31569173630453</v>
      </c>
      <c r="F62" s="18">
        <f>25410+17152+18558</f>
        <v>61120</v>
      </c>
      <c r="G62" s="18">
        <v>71</v>
      </c>
      <c r="H62" s="39">
        <f>+G62/F62*1000000</f>
        <v>1161.6492146596859</v>
      </c>
      <c r="I62" s="18">
        <f>31520+22976+29028</f>
        <v>83524</v>
      </c>
      <c r="L62" s="18">
        <f>5+4+30400+22144+20982</f>
        <v>73535</v>
      </c>
      <c r="M62" s="18">
        <v>54</v>
      </c>
      <c r="N62" s="18">
        <f>+M62/L62*1000000</f>
        <v>734.34418984157196</v>
      </c>
      <c r="O62" s="18">
        <f>1+3+28100+24704+23388</f>
        <v>76196</v>
      </c>
      <c r="P62" s="18">
        <v>54</v>
      </c>
      <c r="Q62" s="18">
        <f>+P62/O62*1000000</f>
        <v>708.69861935009715</v>
      </c>
      <c r="R62" s="18">
        <f>25900+24192+21984</f>
        <v>72076</v>
      </c>
      <c r="U62" s="18">
        <f>22200+15552+13488</f>
        <v>51240</v>
      </c>
      <c r="X62" s="18">
        <f>32200+20928+29748</f>
        <v>82876</v>
      </c>
      <c r="AA62" s="18">
        <f>34500+24256+26148</f>
        <v>84904</v>
      </c>
      <c r="AB62" s="18">
        <v>1</v>
      </c>
      <c r="AC62" s="18">
        <f>+AB62/AA62*1000000</f>
        <v>11.778008103269576</v>
      </c>
      <c r="AD62" s="18">
        <f>40042+37120+22572</f>
        <v>99734</v>
      </c>
      <c r="AE62" s="18">
        <v>204</v>
      </c>
      <c r="AF62" s="18">
        <f>+AE62/AD62*1000000</f>
        <v>2045.4408727214388</v>
      </c>
      <c r="AG62" s="18">
        <f>35800+33280+16794</f>
        <v>85874</v>
      </c>
      <c r="AH62" s="18">
        <v>77</v>
      </c>
      <c r="AI62" s="18">
        <f>+AH62/AG62*1000000</f>
        <v>896.66255211123269</v>
      </c>
    </row>
    <row r="63" spans="1:35">
      <c r="A63" s="18" t="s">
        <v>90</v>
      </c>
      <c r="B63" s="12" t="s">
        <v>40</v>
      </c>
      <c r="C63" s="39"/>
      <c r="D63" s="39"/>
      <c r="E63" s="39"/>
    </row>
    <row r="64" spans="1:35">
      <c r="A64" s="18" t="s">
        <v>91</v>
      </c>
      <c r="B64" s="12" t="s">
        <v>35</v>
      </c>
      <c r="C64" s="39"/>
      <c r="D64" s="39"/>
      <c r="E64" s="39"/>
    </row>
    <row r="65" spans="1:33">
      <c r="A65" s="18" t="s">
        <v>92</v>
      </c>
      <c r="B65" s="12" t="s">
        <v>15</v>
      </c>
      <c r="C65" s="39"/>
      <c r="D65" s="41"/>
      <c r="E65" s="41"/>
    </row>
    <row r="66" spans="1:33">
      <c r="A66" s="18" t="s">
        <v>94</v>
      </c>
      <c r="B66" s="12" t="s">
        <v>14</v>
      </c>
      <c r="C66" s="39"/>
      <c r="D66" s="39"/>
      <c r="E66" s="39"/>
    </row>
    <row r="67" spans="1:33">
      <c r="A67" s="18" t="s">
        <v>95</v>
      </c>
      <c r="B67" s="4" t="s">
        <v>123</v>
      </c>
      <c r="C67" s="39"/>
      <c r="D67" s="41"/>
      <c r="E67" s="41"/>
    </row>
    <row r="68" spans="1:33">
      <c r="A68" s="18" t="s">
        <v>116</v>
      </c>
      <c r="B68" s="12" t="s">
        <v>41</v>
      </c>
      <c r="C68" s="39"/>
      <c r="D68" s="39"/>
      <c r="E68" s="39"/>
    </row>
    <row r="69" spans="1:33">
      <c r="A69" s="18" t="s">
        <v>96</v>
      </c>
      <c r="B69" s="12" t="s">
        <v>141</v>
      </c>
      <c r="C69" s="39">
        <v>4480</v>
      </c>
      <c r="D69" s="39"/>
      <c r="E69" s="39"/>
      <c r="F69" s="18">
        <f>1530+5824</f>
        <v>7354</v>
      </c>
      <c r="I69" s="18">
        <v>9152</v>
      </c>
      <c r="L69" s="18">
        <f>45+833+1920</f>
        <v>2798</v>
      </c>
      <c r="O69" s="18">
        <v>4864</v>
      </c>
      <c r="R69" s="18">
        <v>7232</v>
      </c>
      <c r="U69" s="18">
        <v>3776</v>
      </c>
      <c r="X69" s="18">
        <f>40+240+5056+68</f>
        <v>5404</v>
      </c>
      <c r="AA69" s="18">
        <f>8320+303</f>
        <v>8623</v>
      </c>
      <c r="AD69" s="18">
        <v>7232</v>
      </c>
      <c r="AG69" s="18">
        <v>32198</v>
      </c>
    </row>
    <row r="70" spans="1:33">
      <c r="A70" s="18" t="s">
        <v>130</v>
      </c>
      <c r="B70" s="12" t="s">
        <v>142</v>
      </c>
      <c r="C70" s="39">
        <v>149008</v>
      </c>
      <c r="D70" s="17"/>
      <c r="E70" s="17"/>
      <c r="F70" s="18">
        <v>105416</v>
      </c>
      <c r="I70" s="18">
        <v>130255</v>
      </c>
      <c r="L70" s="18">
        <v>127485</v>
      </c>
      <c r="O70" s="18">
        <v>154762</v>
      </c>
      <c r="R70" s="18">
        <f>2+119888</f>
        <v>119890</v>
      </c>
      <c r="U70" s="18">
        <v>100465</v>
      </c>
      <c r="X70" s="18">
        <v>160055</v>
      </c>
      <c r="Y70" s="18">
        <v>129</v>
      </c>
      <c r="Z70" s="18">
        <f>+Y70/(X62+X69+X70)*1000000</f>
        <v>519.45960094227553</v>
      </c>
      <c r="AA70" s="18">
        <v>134734</v>
      </c>
      <c r="AB70" s="18">
        <v>200</v>
      </c>
      <c r="AC70" s="18">
        <f>+AB70/AA70*1000000</f>
        <v>1484.4063116956374</v>
      </c>
      <c r="AD70" s="18">
        <v>136032</v>
      </c>
      <c r="AG70" s="18">
        <v>98149</v>
      </c>
    </row>
    <row r="71" spans="1:33">
      <c r="A71" s="18" t="s">
        <v>93</v>
      </c>
      <c r="B71" s="12" t="s">
        <v>24</v>
      </c>
      <c r="C71" s="39"/>
      <c r="D71" s="39"/>
      <c r="E71" s="39"/>
    </row>
    <row r="72" spans="1:33">
      <c r="A72" s="18" t="s">
        <v>156</v>
      </c>
      <c r="B72" s="12" t="s">
        <v>157</v>
      </c>
      <c r="C72" s="39"/>
      <c r="D72" s="39"/>
      <c r="E72" s="39"/>
      <c r="AD72" s="18">
        <v>54</v>
      </c>
    </row>
    <row r="73" spans="1:33">
      <c r="A73" s="18" t="s">
        <v>297</v>
      </c>
      <c r="B73" s="12" t="s">
        <v>298</v>
      </c>
      <c r="C73" s="39"/>
      <c r="D73" s="39"/>
      <c r="E73" s="39"/>
      <c r="AA73" s="18">
        <v>2024</v>
      </c>
    </row>
    <row r="74" spans="1:33">
      <c r="A74" s="47" t="s">
        <v>181</v>
      </c>
      <c r="B74" s="12" t="s">
        <v>183</v>
      </c>
      <c r="C74" s="39">
        <v>4500</v>
      </c>
      <c r="D74" s="39"/>
      <c r="E74" s="39"/>
      <c r="F74" s="18">
        <v>1500</v>
      </c>
      <c r="I74" s="18">
        <v>6000</v>
      </c>
      <c r="L74" s="18">
        <v>4500</v>
      </c>
      <c r="O74" s="18">
        <v>4500</v>
      </c>
      <c r="R74" s="18">
        <v>6000</v>
      </c>
      <c r="U74" s="18">
        <v>5600</v>
      </c>
    </row>
    <row r="75" spans="1:33">
      <c r="A75" s="47" t="s">
        <v>182</v>
      </c>
      <c r="B75" s="12" t="s">
        <v>184</v>
      </c>
      <c r="C75" s="39"/>
      <c r="D75" s="39"/>
      <c r="E75" s="39"/>
      <c r="L75" s="18">
        <v>10401</v>
      </c>
      <c r="AA75" s="18">
        <v>13400</v>
      </c>
    </row>
    <row r="76" spans="1:33">
      <c r="A76" s="18" t="s">
        <v>97</v>
      </c>
      <c r="B76" s="12" t="s">
        <v>16</v>
      </c>
      <c r="C76" s="39"/>
      <c r="D76" s="39"/>
      <c r="E76" s="39"/>
    </row>
    <row r="77" spans="1:33">
      <c r="A77" s="18" t="s">
        <v>274</v>
      </c>
      <c r="B77" s="12" t="s">
        <v>203</v>
      </c>
      <c r="C77" s="39">
        <f>222+7+19175</f>
        <v>19404</v>
      </c>
      <c r="D77" s="39"/>
      <c r="E77" s="39"/>
      <c r="F77" s="18">
        <f>189+1+4+18000</f>
        <v>18194</v>
      </c>
      <c r="I77" s="18">
        <f>93+5+22608</f>
        <v>22706</v>
      </c>
      <c r="L77" s="18">
        <f>139+20544</f>
        <v>20683</v>
      </c>
      <c r="O77" s="18">
        <f>17+1</f>
        <v>18</v>
      </c>
      <c r="R77" s="18">
        <f>214+8+22224</f>
        <v>22446</v>
      </c>
      <c r="U77" s="18">
        <f>212+14544</f>
        <v>14756</v>
      </c>
      <c r="X77" s="18">
        <v>26112</v>
      </c>
      <c r="AA77" s="18">
        <v>20448</v>
      </c>
      <c r="AD77" s="18">
        <f>3+23686</f>
        <v>23689</v>
      </c>
      <c r="AG77" s="18">
        <f>25+48+21696</f>
        <v>21769</v>
      </c>
    </row>
    <row r="78" spans="1:33">
      <c r="A78" s="18" t="s">
        <v>273</v>
      </c>
      <c r="B78" s="12" t="s">
        <v>275</v>
      </c>
      <c r="C78" s="39"/>
      <c r="D78" s="39"/>
      <c r="E78" s="39"/>
      <c r="U78" s="18">
        <v>466</v>
      </c>
      <c r="X78" s="18">
        <f>31+84</f>
        <v>115</v>
      </c>
      <c r="AD78" s="18">
        <v>72</v>
      </c>
      <c r="AG78" s="18">
        <f>265+145</f>
        <v>410</v>
      </c>
    </row>
    <row r="79" spans="1:33">
      <c r="A79" s="18" t="s">
        <v>207</v>
      </c>
      <c r="B79" s="12" t="s">
        <v>208</v>
      </c>
      <c r="C79" s="39"/>
      <c r="D79" s="39"/>
      <c r="E79" s="39"/>
    </row>
    <row r="80" spans="1:33">
      <c r="A80" s="18" t="s">
        <v>98</v>
      </c>
      <c r="B80" s="12" t="s">
        <v>51</v>
      </c>
      <c r="C80" s="39"/>
      <c r="D80" s="39"/>
      <c r="E80" s="39"/>
    </row>
    <row r="81" spans="1:33">
      <c r="A81" s="18" t="s">
        <v>99</v>
      </c>
      <c r="B81" s="12" t="s">
        <v>55</v>
      </c>
      <c r="C81" s="39"/>
      <c r="D81" s="39"/>
      <c r="E81" s="39"/>
    </row>
    <row r="82" spans="1:33">
      <c r="A82" s="18" t="s">
        <v>131</v>
      </c>
      <c r="B82" s="12" t="s">
        <v>132</v>
      </c>
      <c r="C82" s="39"/>
      <c r="D82" s="39"/>
      <c r="E82" s="39"/>
    </row>
    <row r="83" spans="1:33">
      <c r="A83" s="18" t="s">
        <v>109</v>
      </c>
      <c r="B83" s="12" t="s">
        <v>42</v>
      </c>
      <c r="C83" s="39"/>
      <c r="D83" s="39"/>
      <c r="E83" s="39"/>
    </row>
    <row r="84" spans="1:33">
      <c r="A84" s="18" t="s">
        <v>179</v>
      </c>
      <c r="B84" s="12" t="s">
        <v>209</v>
      </c>
      <c r="C84" s="39"/>
      <c r="D84" s="39"/>
      <c r="E84" s="39"/>
      <c r="U84" s="18">
        <v>1000</v>
      </c>
    </row>
    <row r="85" spans="1:33">
      <c r="A85" s="18" t="s">
        <v>158</v>
      </c>
      <c r="B85" s="12" t="s">
        <v>159</v>
      </c>
      <c r="C85" s="39"/>
      <c r="D85" s="39"/>
      <c r="E85" s="39"/>
    </row>
    <row r="86" spans="1:33">
      <c r="A86" s="18" t="s">
        <v>145</v>
      </c>
      <c r="B86" s="12" t="s">
        <v>57</v>
      </c>
      <c r="C86" s="39"/>
      <c r="D86" s="39"/>
      <c r="E86" s="39"/>
    </row>
    <row r="87" spans="1:33">
      <c r="A87" s="18" t="s">
        <v>100</v>
      </c>
      <c r="B87" s="12" t="s">
        <v>27</v>
      </c>
      <c r="C87" s="39">
        <v>61440</v>
      </c>
      <c r="D87" s="39"/>
      <c r="E87" s="39"/>
      <c r="F87" s="18">
        <v>59520</v>
      </c>
      <c r="I87" s="18">
        <v>78720</v>
      </c>
      <c r="L87" s="18">
        <v>72000</v>
      </c>
      <c r="O87" s="18">
        <v>61440</v>
      </c>
      <c r="R87" s="18">
        <v>22080</v>
      </c>
      <c r="U87" s="18">
        <v>52450</v>
      </c>
      <c r="X87" s="18">
        <v>87360</v>
      </c>
      <c r="AA87" s="18">
        <v>52520</v>
      </c>
      <c r="AD87" s="18">
        <v>54720</v>
      </c>
      <c r="AG87" s="18">
        <v>63360</v>
      </c>
    </row>
    <row r="88" spans="1:33">
      <c r="A88" s="18" t="s">
        <v>117</v>
      </c>
      <c r="B88" s="12" t="s">
        <v>62</v>
      </c>
      <c r="C88" s="39">
        <v>37500</v>
      </c>
      <c r="D88" s="39"/>
      <c r="E88" s="39"/>
      <c r="F88" s="18">
        <v>37500</v>
      </c>
      <c r="I88" s="18">
        <v>40000</v>
      </c>
      <c r="L88" s="18">
        <v>30000</v>
      </c>
      <c r="O88" s="18">
        <v>30000</v>
      </c>
      <c r="R88" s="18">
        <v>30000</v>
      </c>
      <c r="U88" s="18">
        <v>41800</v>
      </c>
      <c r="X88" s="18">
        <v>52500</v>
      </c>
      <c r="AA88" s="18">
        <v>35000</v>
      </c>
      <c r="AD88" s="18">
        <v>40000</v>
      </c>
      <c r="AG88" s="18">
        <v>40000</v>
      </c>
    </row>
    <row r="89" spans="1:33">
      <c r="A89" s="18" t="s">
        <v>101</v>
      </c>
      <c r="B89" s="12" t="s">
        <v>22</v>
      </c>
      <c r="C89" s="39">
        <v>1000</v>
      </c>
      <c r="D89" s="39"/>
      <c r="E89" s="39"/>
      <c r="O89" s="18">
        <v>2000</v>
      </c>
      <c r="R89" s="18">
        <v>1000</v>
      </c>
      <c r="U89" s="18">
        <v>2000</v>
      </c>
      <c r="X89" s="18">
        <v>2000</v>
      </c>
      <c r="AA89" s="18">
        <v>4000</v>
      </c>
      <c r="AG89" s="18">
        <v>1000</v>
      </c>
    </row>
    <row r="90" spans="1:33">
      <c r="A90" s="18" t="s">
        <v>189</v>
      </c>
      <c r="B90" s="12" t="s">
        <v>190</v>
      </c>
      <c r="C90" s="39"/>
      <c r="D90" s="39"/>
      <c r="E90" s="39"/>
    </row>
    <row r="91" spans="1:33">
      <c r="A91" s="18" t="s">
        <v>175</v>
      </c>
      <c r="B91" s="12" t="s">
        <v>176</v>
      </c>
      <c r="C91" s="39">
        <v>200</v>
      </c>
      <c r="D91" s="39"/>
      <c r="E91" s="39"/>
      <c r="I91" s="18">
        <v>100</v>
      </c>
      <c r="L91" s="18">
        <v>200</v>
      </c>
    </row>
    <row r="92" spans="1:33" ht="14.25" customHeight="1">
      <c r="A92" s="18" t="s">
        <v>118</v>
      </c>
      <c r="B92" s="12" t="s">
        <v>60</v>
      </c>
      <c r="C92" s="39"/>
      <c r="D92" s="39"/>
      <c r="E92" s="39"/>
    </row>
    <row r="93" spans="1:33" ht="14.25" customHeight="1">
      <c r="A93" s="18" t="s">
        <v>173</v>
      </c>
      <c r="B93" s="12" t="s">
        <v>174</v>
      </c>
      <c r="C93" s="39"/>
      <c r="D93" s="39"/>
      <c r="E93" s="39"/>
    </row>
    <row r="94" spans="1:33">
      <c r="A94" s="18" t="s">
        <v>102</v>
      </c>
      <c r="B94" s="12" t="s">
        <v>3</v>
      </c>
      <c r="C94" s="39"/>
      <c r="D94" s="39"/>
      <c r="E94" s="39"/>
    </row>
    <row r="95" spans="1:33">
      <c r="A95" s="18" t="s">
        <v>119</v>
      </c>
      <c r="B95" s="12" t="s">
        <v>170</v>
      </c>
      <c r="C95" s="39">
        <f>12350+11800</f>
        <v>24150</v>
      </c>
      <c r="D95" s="39"/>
      <c r="E95" s="39"/>
      <c r="F95" s="18">
        <v>9</v>
      </c>
    </row>
    <row r="96" spans="1:33">
      <c r="A96" s="18" t="s">
        <v>120</v>
      </c>
      <c r="B96" s="12" t="s">
        <v>121</v>
      </c>
      <c r="C96" s="39"/>
      <c r="D96" s="39"/>
      <c r="E96" s="39"/>
      <c r="F96" s="18">
        <f>67</f>
        <v>67</v>
      </c>
      <c r="O96" s="18">
        <f>23+12</f>
        <v>35</v>
      </c>
      <c r="R96" s="18">
        <f>41+24+2</f>
        <v>67</v>
      </c>
      <c r="X96" s="18">
        <f>1+4+2</f>
        <v>7</v>
      </c>
      <c r="AG96" s="18">
        <f>17+1+2</f>
        <v>20</v>
      </c>
    </row>
    <row r="97" spans="1:33">
      <c r="A97" s="18" t="s">
        <v>133</v>
      </c>
      <c r="B97" s="12" t="s">
        <v>134</v>
      </c>
      <c r="C97" s="39">
        <v>189</v>
      </c>
      <c r="D97" s="39"/>
      <c r="E97" s="39"/>
      <c r="F97" s="18">
        <v>84</v>
      </c>
      <c r="I97" s="18">
        <f>579</f>
        <v>579</v>
      </c>
      <c r="L97" s="18">
        <v>191</v>
      </c>
      <c r="O97" s="18">
        <v>796</v>
      </c>
      <c r="R97" s="18">
        <f>919</f>
        <v>919</v>
      </c>
      <c r="U97" s="18">
        <v>113</v>
      </c>
      <c r="X97" s="18">
        <v>146</v>
      </c>
      <c r="AA97" s="18">
        <v>225</v>
      </c>
      <c r="AD97" s="18">
        <v>384</v>
      </c>
      <c r="AG97" s="18">
        <v>190</v>
      </c>
    </row>
    <row r="98" spans="1:33">
      <c r="A98" s="18" t="s">
        <v>204</v>
      </c>
      <c r="B98" s="12" t="s">
        <v>226</v>
      </c>
      <c r="C98" s="39">
        <f>24520+16</f>
        <v>24536</v>
      </c>
      <c r="D98" s="39"/>
      <c r="E98" s="39"/>
      <c r="F98" s="18">
        <f>23210+4</f>
        <v>23214</v>
      </c>
      <c r="I98" s="18">
        <v>26140</v>
      </c>
      <c r="L98" s="18">
        <v>14315</v>
      </c>
      <c r="O98" s="18">
        <v>6200</v>
      </c>
      <c r="R98" s="18">
        <v>20745</v>
      </c>
      <c r="U98" s="18">
        <v>15725</v>
      </c>
      <c r="X98" s="18">
        <v>26050</v>
      </c>
      <c r="AA98" s="18">
        <v>26480</v>
      </c>
      <c r="AD98" s="18">
        <v>25575</v>
      </c>
      <c r="AG98" s="64">
        <f>24595+2+4896</f>
        <v>29493</v>
      </c>
    </row>
    <row r="99" spans="1:33">
      <c r="A99" s="18" t="s">
        <v>152</v>
      </c>
      <c r="B99" s="12" t="s">
        <v>147</v>
      </c>
      <c r="C99" s="39"/>
      <c r="D99" s="39"/>
      <c r="E99" s="39"/>
    </row>
    <row r="100" spans="1:33">
      <c r="A100" s="18" t="s">
        <v>196</v>
      </c>
      <c r="B100" s="12" t="s">
        <v>197</v>
      </c>
      <c r="C100" s="39"/>
      <c r="D100" s="39"/>
      <c r="E100" s="39"/>
      <c r="I100" s="18">
        <f>30+40</f>
        <v>70</v>
      </c>
      <c r="U100" s="18">
        <v>63</v>
      </c>
      <c r="X100" s="18">
        <v>851</v>
      </c>
      <c r="AA100" s="18">
        <v>4016</v>
      </c>
      <c r="AD100" s="18">
        <f>1+2+4648</f>
        <v>4651</v>
      </c>
    </row>
    <row r="101" spans="1:33">
      <c r="A101" s="18" t="s">
        <v>103</v>
      </c>
      <c r="B101" s="12" t="s">
        <v>48</v>
      </c>
      <c r="C101" s="39"/>
      <c r="D101" s="39"/>
      <c r="E101" s="39"/>
      <c r="I101" s="18">
        <f>72</f>
        <v>72</v>
      </c>
      <c r="AG101" s="18">
        <f>54</f>
        <v>54</v>
      </c>
    </row>
    <row r="102" spans="1:33">
      <c r="A102" s="18" t="s">
        <v>122</v>
      </c>
      <c r="B102" s="12" t="s">
        <v>58</v>
      </c>
      <c r="C102" s="39">
        <v>25</v>
      </c>
      <c r="D102" s="39"/>
      <c r="E102" s="39"/>
      <c r="F102" s="18">
        <v>15</v>
      </c>
      <c r="I102" s="18">
        <v>34</v>
      </c>
      <c r="O102" s="18">
        <v>10</v>
      </c>
      <c r="R102" s="18">
        <v>10</v>
      </c>
      <c r="U102" s="18">
        <v>25</v>
      </c>
      <c r="X102" s="18">
        <v>45</v>
      </c>
      <c r="AD102" s="18">
        <v>20</v>
      </c>
      <c r="AG102" s="18">
        <v>20</v>
      </c>
    </row>
    <row r="103" spans="1:33">
      <c r="A103" s="18" t="s">
        <v>153</v>
      </c>
      <c r="B103" s="12" t="s">
        <v>21</v>
      </c>
      <c r="C103" s="39">
        <v>56130</v>
      </c>
      <c r="D103" s="39"/>
      <c r="E103" s="39"/>
      <c r="F103" s="18">
        <v>44000</v>
      </c>
      <c r="I103" s="18">
        <v>62000</v>
      </c>
      <c r="L103" s="18">
        <v>52000</v>
      </c>
      <c r="O103" s="18">
        <v>52000</v>
      </c>
      <c r="R103" s="18">
        <v>52000</v>
      </c>
      <c r="U103" s="18">
        <v>44000</v>
      </c>
      <c r="X103" s="18">
        <f>48000+7051</f>
        <v>55051</v>
      </c>
      <c r="AA103" s="18">
        <v>64000</v>
      </c>
      <c r="AD103" s="18">
        <v>52000</v>
      </c>
      <c r="AG103" s="18">
        <v>48000</v>
      </c>
    </row>
    <row r="104" spans="1:33">
      <c r="A104" s="18" t="s">
        <v>199</v>
      </c>
      <c r="B104" s="12" t="s">
        <v>211</v>
      </c>
      <c r="C104" s="39"/>
      <c r="D104" s="39"/>
      <c r="E104" s="39"/>
    </row>
    <row r="105" spans="1:33">
      <c r="A105" s="18" t="s">
        <v>111</v>
      </c>
      <c r="B105" s="12" t="s">
        <v>4</v>
      </c>
      <c r="C105" s="39"/>
      <c r="D105" s="39"/>
      <c r="E105" s="39"/>
      <c r="F105" s="18">
        <v>2600</v>
      </c>
    </row>
    <row r="106" spans="1:33">
      <c r="A106" s="18" t="s">
        <v>110</v>
      </c>
      <c r="B106" s="12" t="s">
        <v>43</v>
      </c>
      <c r="C106" s="39"/>
      <c r="D106" s="39"/>
      <c r="E106" s="39"/>
    </row>
    <row r="107" spans="1:33">
      <c r="A107" s="18" t="s">
        <v>177</v>
      </c>
      <c r="B107" s="12" t="s">
        <v>178</v>
      </c>
      <c r="C107" s="39"/>
      <c r="D107" s="39"/>
      <c r="E107" s="39"/>
    </row>
    <row r="108" spans="1:33">
      <c r="A108" s="18" t="s">
        <v>136</v>
      </c>
      <c r="B108" s="12" t="s">
        <v>137</v>
      </c>
      <c r="C108" s="39"/>
      <c r="D108" s="39"/>
      <c r="E108" s="39"/>
    </row>
    <row r="109" spans="1:33">
      <c r="A109" s="18" t="s">
        <v>112</v>
      </c>
      <c r="B109" s="12" t="s">
        <v>47</v>
      </c>
      <c r="C109" s="39">
        <v>288</v>
      </c>
      <c r="D109" s="39"/>
      <c r="E109" s="39"/>
      <c r="AA109" s="18">
        <v>288</v>
      </c>
    </row>
    <row r="110" spans="1:33">
      <c r="A110" s="18" t="s">
        <v>138</v>
      </c>
      <c r="B110" s="12" t="s">
        <v>63</v>
      </c>
      <c r="C110" s="39"/>
      <c r="D110" s="39"/>
      <c r="E110" s="39"/>
      <c r="I110" s="18">
        <v>318</v>
      </c>
      <c r="U110" s="18">
        <v>280</v>
      </c>
    </row>
    <row r="111" spans="1:33">
      <c r="A111" s="18" t="s">
        <v>104</v>
      </c>
      <c r="B111" s="12" t="s">
        <v>5</v>
      </c>
      <c r="C111" s="39"/>
      <c r="D111" s="39"/>
      <c r="E111" s="39"/>
      <c r="I111" s="18">
        <v>625</v>
      </c>
      <c r="L111" s="18">
        <v>1070</v>
      </c>
      <c r="O111" s="18">
        <v>2315</v>
      </c>
      <c r="R111" s="18">
        <v>810</v>
      </c>
      <c r="U111" s="18">
        <v>739</v>
      </c>
      <c r="X111" s="18">
        <v>750</v>
      </c>
      <c r="AA111" s="18">
        <v>530</v>
      </c>
      <c r="AD111" s="18">
        <v>656</v>
      </c>
      <c r="AG111" s="18">
        <v>200</v>
      </c>
    </row>
    <row r="112" spans="1:33">
      <c r="A112" s="18" t="s">
        <v>180</v>
      </c>
      <c r="B112" s="6"/>
      <c r="C112" s="6">
        <f>8+8+2+4</f>
        <v>22</v>
      </c>
      <c r="D112" s="6"/>
      <c r="E112" s="6"/>
      <c r="F112" s="18">
        <f>20+13+1+10+11+2+7+1</f>
        <v>65</v>
      </c>
      <c r="I112" s="18">
        <f>100+1+28+1+120</f>
        <v>250</v>
      </c>
      <c r="L112" s="18">
        <f>1+1+75+19+6+1+120</f>
        <v>223</v>
      </c>
      <c r="O112" s="18">
        <f>1</f>
        <v>1</v>
      </c>
      <c r="R112" s="18">
        <f>427+75+4+1197+180+39</f>
        <v>1922</v>
      </c>
      <c r="U112" s="18">
        <f>170+465+60</f>
        <v>695</v>
      </c>
      <c r="X112" s="18">
        <f>6+50</f>
        <v>56</v>
      </c>
      <c r="AD112" s="18">
        <f>336+73+5+1</f>
        <v>415</v>
      </c>
      <c r="AG112" s="18">
        <f>6+17+266+100+83+6+60+1+4</f>
        <v>543</v>
      </c>
    </row>
    <row r="113" spans="1:38">
      <c r="B113" s="13" t="s">
        <v>64</v>
      </c>
      <c r="C113" s="14">
        <f>SUM(C3:C112)</f>
        <v>1058071</v>
      </c>
      <c r="D113" s="14">
        <f>SUM(D3:D111)</f>
        <v>30</v>
      </c>
      <c r="E113" s="27">
        <f>+D113/C113*1000000</f>
        <v>28.353484785047506</v>
      </c>
      <c r="F113" s="14">
        <f>SUM(F3:F112)</f>
        <v>1003024</v>
      </c>
      <c r="G113" s="14">
        <f>SUM(G3:G111)</f>
        <v>71</v>
      </c>
      <c r="H113" s="27">
        <f>+G113/F113*1000000</f>
        <v>70.785943307438316</v>
      </c>
      <c r="I113" s="14">
        <f>SUM(I3:I112)</f>
        <v>1373985</v>
      </c>
      <c r="J113" s="14">
        <f>SUM(J3:J111)</f>
        <v>0</v>
      </c>
      <c r="K113" s="27">
        <f>+J113/I113*1000000</f>
        <v>0</v>
      </c>
      <c r="L113" s="14">
        <f>SUM(L3:L112)</f>
        <v>987213</v>
      </c>
      <c r="M113" s="14">
        <f>SUM(M3:M111)</f>
        <v>54</v>
      </c>
      <c r="N113" s="27">
        <f>+M113/L113*1000000</f>
        <v>54.699441761808245</v>
      </c>
      <c r="O113" s="14">
        <f>SUM(O3:O112)</f>
        <v>1145426</v>
      </c>
      <c r="P113" s="14">
        <f>SUM(P3:P111)</f>
        <v>54</v>
      </c>
      <c r="Q113" s="27">
        <f>+P113/O113*1000000</f>
        <v>47.144032002067355</v>
      </c>
      <c r="R113" s="14">
        <f>SUM(R3:R112)</f>
        <v>1141230</v>
      </c>
      <c r="S113" s="14">
        <f>SUM(S3:S111)</f>
        <v>0</v>
      </c>
      <c r="T113" s="27">
        <f>+S113/R113*1000000</f>
        <v>0</v>
      </c>
      <c r="U113" s="14">
        <f>SUM(U3:U112)</f>
        <v>744641</v>
      </c>
      <c r="V113" s="14">
        <f>SUM(V3:V111)</f>
        <v>3</v>
      </c>
      <c r="W113" s="27">
        <f>+V113/U113*1000000</f>
        <v>4.0287870262314325</v>
      </c>
      <c r="X113" s="14">
        <f>SUM(X3:X112)</f>
        <v>1324927</v>
      </c>
      <c r="Y113" s="14">
        <f>SUM(Y3:Y111)</f>
        <v>129</v>
      </c>
      <c r="Z113" s="27">
        <f>+Y113/X113*1000000</f>
        <v>97.36385476331904</v>
      </c>
      <c r="AA113" s="14">
        <f>SUM(AA3:AA112)</f>
        <v>1204497</v>
      </c>
      <c r="AB113" s="14">
        <f>SUM(AB3:AB111)</f>
        <v>201</v>
      </c>
      <c r="AC113" s="27">
        <f>+AB113/AA113*1000000</f>
        <v>166.87463729673053</v>
      </c>
      <c r="AD113" s="14">
        <f>SUM(AD3:AD112)</f>
        <v>1227848</v>
      </c>
      <c r="AE113" s="14">
        <f>SUM(AE3:AE111)</f>
        <v>204</v>
      </c>
      <c r="AF113" s="27">
        <f>+AE113/AD113*1000000</f>
        <v>166.1443435995335</v>
      </c>
      <c r="AG113" s="14">
        <f>SUM(AG3:AG112)</f>
        <v>1223646</v>
      </c>
      <c r="AH113" s="14">
        <f>SUM(AH3:AH111)</f>
        <v>77</v>
      </c>
      <c r="AI113" s="27">
        <f>+AH113/AG113*1000000</f>
        <v>62.926696119629376</v>
      </c>
      <c r="AJ113" s="14"/>
      <c r="AK113" s="14"/>
      <c r="AL113" s="27"/>
    </row>
    <row r="114" spans="1:38">
      <c r="B114" s="12" t="s">
        <v>64</v>
      </c>
      <c r="C114" s="62" t="s">
        <v>237</v>
      </c>
      <c r="D114" s="63"/>
      <c r="E114" s="12"/>
      <c r="F114" s="62" t="s">
        <v>245</v>
      </c>
      <c r="G114" s="63"/>
      <c r="H114" s="12"/>
      <c r="I114" s="62" t="s">
        <v>245</v>
      </c>
      <c r="J114" s="63"/>
      <c r="K114" s="12"/>
      <c r="L114" s="62" t="s">
        <v>263</v>
      </c>
      <c r="M114" s="63"/>
      <c r="N114" s="12"/>
      <c r="O114" s="62" t="s">
        <v>265</v>
      </c>
      <c r="P114" s="63"/>
      <c r="Q114" s="12"/>
      <c r="R114" s="62" t="s">
        <v>265</v>
      </c>
      <c r="S114" s="63"/>
      <c r="T114" s="12"/>
      <c r="U114" s="62" t="s">
        <v>282</v>
      </c>
      <c r="V114" s="63"/>
      <c r="W114" s="12"/>
      <c r="X114" s="62" t="s">
        <v>294</v>
      </c>
      <c r="Y114" s="63"/>
      <c r="Z114" s="12"/>
      <c r="AA114" s="62" t="s">
        <v>311</v>
      </c>
      <c r="AB114" s="63"/>
      <c r="AC114" s="12"/>
      <c r="AD114" s="62" t="s">
        <v>333</v>
      </c>
      <c r="AE114" s="63"/>
      <c r="AF114" s="12"/>
      <c r="AG114" s="62" t="s">
        <v>334</v>
      </c>
      <c r="AH114" s="63"/>
      <c r="AI114" s="12"/>
      <c r="AJ114" s="62"/>
      <c r="AK114" s="63"/>
      <c r="AL114" s="56"/>
    </row>
    <row r="115" spans="1:38">
      <c r="B115" s="17"/>
      <c r="C115" s="20"/>
      <c r="D115" s="19"/>
      <c r="E115" s="19"/>
      <c r="O115" s="53"/>
      <c r="R115" s="53"/>
      <c r="AA115" s="53"/>
      <c r="AG115" s="53"/>
      <c r="AJ115" s="53"/>
    </row>
    <row r="116" spans="1:38">
      <c r="B116" s="23"/>
      <c r="C116" s="37"/>
      <c r="D116" s="23"/>
      <c r="E116" s="23"/>
      <c r="F116" s="53"/>
      <c r="I116" s="53"/>
      <c r="L116" s="53"/>
      <c r="O116" s="53"/>
      <c r="R116" s="53"/>
      <c r="U116" s="53"/>
      <c r="X116" s="53"/>
      <c r="AA116" s="53"/>
      <c r="AD116" s="53"/>
      <c r="AG116" s="53"/>
    </row>
    <row r="117" spans="1:38" ht="14.25" customHeight="1">
      <c r="B117" s="23"/>
      <c r="C117" s="37"/>
      <c r="D117" s="23"/>
      <c r="E117" s="23"/>
      <c r="U117" s="53"/>
      <c r="X117" s="53"/>
      <c r="AD117" s="53"/>
      <c r="AG117" s="53"/>
    </row>
    <row r="118" spans="1:38">
      <c r="A118" s="3" t="s">
        <v>140</v>
      </c>
      <c r="B118" s="5"/>
      <c r="C118" s="3"/>
      <c r="D118" s="3"/>
      <c r="E118" s="3"/>
      <c r="I118" s="53"/>
      <c r="O118" s="17"/>
      <c r="P118" s="17"/>
      <c r="Q118" s="43" t="s">
        <v>171</v>
      </c>
      <c r="R118" s="43" t="s">
        <v>171</v>
      </c>
      <c r="S118" s="44" t="s">
        <v>172</v>
      </c>
      <c r="T118" s="45"/>
      <c r="U118" s="26"/>
      <c r="AA118" s="53"/>
      <c r="AD118" s="53"/>
    </row>
    <row r="119" spans="1:38">
      <c r="A119" s="3" t="s">
        <v>10</v>
      </c>
      <c r="B119" s="5" t="s">
        <v>11</v>
      </c>
      <c r="C119" s="3" t="s">
        <v>12</v>
      </c>
      <c r="D119" s="3" t="s">
        <v>13</v>
      </c>
      <c r="E119" s="3"/>
      <c r="G119" s="5" t="s">
        <v>161</v>
      </c>
      <c r="I119" s="3" t="s">
        <v>0</v>
      </c>
      <c r="O119" s="46" t="s">
        <v>32</v>
      </c>
      <c r="P119" s="46" t="s">
        <v>33</v>
      </c>
      <c r="Q119" s="43" t="s">
        <v>6</v>
      </c>
      <c r="R119" s="43" t="s">
        <v>1</v>
      </c>
      <c r="S119" s="46" t="s">
        <v>1</v>
      </c>
      <c r="T119" s="45"/>
      <c r="U119" s="22"/>
      <c r="AA119" s="53"/>
      <c r="AD119" s="53" t="s">
        <v>64</v>
      </c>
    </row>
    <row r="120" spans="1:38" ht="19.5" customHeight="1">
      <c r="A120" s="57" t="s">
        <v>243</v>
      </c>
      <c r="B120" s="7" t="s">
        <v>241</v>
      </c>
      <c r="C120" s="60">
        <v>30</v>
      </c>
      <c r="D120" s="8" t="s">
        <v>240</v>
      </c>
      <c r="E120" s="8"/>
      <c r="G120" s="18" t="s">
        <v>239</v>
      </c>
      <c r="I120" s="18" t="s">
        <v>23</v>
      </c>
      <c r="O120" s="49" t="s">
        <v>205</v>
      </c>
      <c r="P120" s="48">
        <v>25</v>
      </c>
      <c r="Q120" s="52">
        <v>0</v>
      </c>
      <c r="R120" s="52">
        <v>0</v>
      </c>
      <c r="S120" s="52">
        <v>2.4729999999999999</v>
      </c>
      <c r="T120" s="51">
        <f>SUM(R120:R131)</f>
        <v>1.7</v>
      </c>
      <c r="U120" s="50">
        <f>+T120/12</f>
        <v>0.14166666666666666</v>
      </c>
    </row>
    <row r="121" spans="1:38" ht="12.75" customHeight="1">
      <c r="A121" s="3" t="s">
        <v>247</v>
      </c>
      <c r="B121" s="5"/>
      <c r="C121" s="3"/>
      <c r="D121" s="3"/>
      <c r="E121" s="3"/>
      <c r="I121" s="53"/>
      <c r="O121" s="49" t="s">
        <v>206</v>
      </c>
      <c r="P121" s="48">
        <v>25</v>
      </c>
      <c r="Q121" s="52">
        <v>0</v>
      </c>
      <c r="R121" s="52">
        <v>1.7</v>
      </c>
      <c r="S121" s="52">
        <v>2.6150000000000002</v>
      </c>
      <c r="T121" s="51">
        <f>SUM(R120:R131)</f>
        <v>1.7</v>
      </c>
      <c r="U121" s="50">
        <f>+T121/12</f>
        <v>0.14166666666666666</v>
      </c>
    </row>
    <row r="122" spans="1:38">
      <c r="A122" s="3" t="s">
        <v>10</v>
      </c>
      <c r="B122" s="5" t="s">
        <v>11</v>
      </c>
      <c r="C122" s="3" t="s">
        <v>12</v>
      </c>
      <c r="D122" s="3" t="s">
        <v>13</v>
      </c>
      <c r="E122" s="3"/>
      <c r="G122" s="5" t="s">
        <v>161</v>
      </c>
      <c r="I122" s="3" t="s">
        <v>0</v>
      </c>
      <c r="O122" s="49" t="s">
        <v>212</v>
      </c>
      <c r="P122" s="48">
        <v>25</v>
      </c>
      <c r="Q122" s="52">
        <v>0</v>
      </c>
      <c r="R122" s="52">
        <v>0</v>
      </c>
      <c r="S122" s="52">
        <v>2.6150000000000002</v>
      </c>
      <c r="T122" s="51">
        <f>SUM(R120:R131)</f>
        <v>1.7</v>
      </c>
      <c r="U122" s="50">
        <f>+T122/12</f>
        <v>0.14166666666666666</v>
      </c>
    </row>
    <row r="123" spans="1:38" ht="12" customHeight="1">
      <c r="A123" s="58" t="s">
        <v>242</v>
      </c>
      <c r="B123" s="7" t="s">
        <v>241</v>
      </c>
      <c r="C123" s="59">
        <v>71</v>
      </c>
      <c r="D123" s="4" t="s">
        <v>240</v>
      </c>
      <c r="E123" s="4"/>
      <c r="G123" s="18" t="s">
        <v>239</v>
      </c>
      <c r="I123" s="18" t="s">
        <v>23</v>
      </c>
      <c r="O123" s="49" t="s">
        <v>221</v>
      </c>
      <c r="P123" s="48">
        <v>25</v>
      </c>
      <c r="Q123" s="52">
        <v>0</v>
      </c>
      <c r="R123" s="52">
        <v>0</v>
      </c>
      <c r="S123" s="52">
        <v>2.5249999999999999</v>
      </c>
      <c r="T123" s="51">
        <f>SUM(R120:R131)</f>
        <v>1.7</v>
      </c>
      <c r="U123" s="50">
        <f>+T123/12</f>
        <v>0.14166666666666666</v>
      </c>
    </row>
    <row r="124" spans="1:38" ht="10.5" customHeight="1">
      <c r="A124" s="3" t="s">
        <v>249</v>
      </c>
      <c r="B124" s="5"/>
      <c r="C124" s="3"/>
      <c r="D124" s="3"/>
      <c r="E124" s="3"/>
      <c r="I124" s="53"/>
      <c r="O124" s="49" t="s">
        <v>222</v>
      </c>
      <c r="P124" s="48">
        <v>25</v>
      </c>
      <c r="Q124" s="52">
        <v>0</v>
      </c>
      <c r="R124" s="52">
        <v>0</v>
      </c>
      <c r="S124" s="52">
        <v>0.14000000000000001</v>
      </c>
      <c r="T124" s="51">
        <f>SUM(R120:R131)</f>
        <v>1.7</v>
      </c>
      <c r="U124" s="50">
        <f>+T124/12</f>
        <v>0.14166666666666666</v>
      </c>
    </row>
    <row r="125" spans="1:38" ht="13.5" customHeight="1">
      <c r="A125" s="3" t="s">
        <v>10</v>
      </c>
      <c r="B125" s="5" t="s">
        <v>11</v>
      </c>
      <c r="C125" s="3" t="s">
        <v>12</v>
      </c>
      <c r="D125" s="3" t="s">
        <v>13</v>
      </c>
      <c r="E125" s="3"/>
      <c r="G125" s="5" t="s">
        <v>161</v>
      </c>
      <c r="I125" s="3" t="s">
        <v>0</v>
      </c>
      <c r="O125" s="49" t="s">
        <v>225</v>
      </c>
      <c r="P125" s="48">
        <v>25</v>
      </c>
      <c r="Q125" s="52">
        <v>1</v>
      </c>
      <c r="R125" s="52">
        <v>0</v>
      </c>
      <c r="S125" s="52">
        <v>0.14000000000000001</v>
      </c>
      <c r="T125" s="51">
        <f>SUM(R120:R131)</f>
        <v>1.7</v>
      </c>
      <c r="U125" s="50">
        <f t="shared" ref="U125:U127" si="0">+T125/12</f>
        <v>0.14166666666666666</v>
      </c>
    </row>
    <row r="126" spans="1:38">
      <c r="A126" s="2" t="s">
        <v>250</v>
      </c>
      <c r="B126" s="2"/>
      <c r="C126" s="2"/>
      <c r="D126" s="4"/>
      <c r="E126" s="4"/>
      <c r="O126" s="49" t="s">
        <v>227</v>
      </c>
      <c r="P126" s="48">
        <v>25</v>
      </c>
      <c r="Q126" s="52">
        <v>0</v>
      </c>
      <c r="R126" s="52">
        <v>0</v>
      </c>
      <c r="S126" s="52">
        <v>0.14000000000000001</v>
      </c>
      <c r="T126" s="51">
        <f>SUM(R120:R131)</f>
        <v>1.7</v>
      </c>
      <c r="U126" s="50">
        <f t="shared" si="0"/>
        <v>0.14166666666666666</v>
      </c>
    </row>
    <row r="127" spans="1:38" ht="12" customHeight="1">
      <c r="A127" s="3" t="s">
        <v>251</v>
      </c>
      <c r="B127" s="5"/>
      <c r="C127" s="3"/>
      <c r="D127" s="3"/>
      <c r="E127" s="3"/>
      <c r="I127" s="53"/>
      <c r="O127" s="49" t="s">
        <v>228</v>
      </c>
      <c r="P127" s="48">
        <v>25</v>
      </c>
      <c r="Q127" s="52">
        <v>14</v>
      </c>
      <c r="R127" s="52">
        <v>0</v>
      </c>
      <c r="S127" s="52">
        <v>0.14000000000000001</v>
      </c>
      <c r="T127" s="51">
        <f>SUM(R120:R131)</f>
        <v>1.7</v>
      </c>
      <c r="U127" s="50">
        <f t="shared" si="0"/>
        <v>0.14166666666666666</v>
      </c>
    </row>
    <row r="128" spans="1:38">
      <c r="A128" s="3" t="s">
        <v>10</v>
      </c>
      <c r="B128" s="5" t="s">
        <v>11</v>
      </c>
      <c r="C128" s="3" t="s">
        <v>12</v>
      </c>
      <c r="D128" s="3" t="s">
        <v>13</v>
      </c>
      <c r="E128" s="3"/>
      <c r="G128" s="5" t="s">
        <v>161</v>
      </c>
      <c r="I128" s="3" t="s">
        <v>0</v>
      </c>
      <c r="O128" s="49" t="s">
        <v>229</v>
      </c>
      <c r="P128" s="48">
        <v>25</v>
      </c>
      <c r="Q128" s="52">
        <v>0</v>
      </c>
      <c r="R128" s="52">
        <v>0</v>
      </c>
      <c r="S128" s="52">
        <v>0.14000000000000001</v>
      </c>
      <c r="T128" s="51">
        <f>SUM(R120:R131)</f>
        <v>1.7</v>
      </c>
      <c r="U128" s="50">
        <f t="shared" ref="U128" si="1">+T128/12</f>
        <v>0.14166666666666666</v>
      </c>
    </row>
    <row r="129" spans="1:21" ht="13.5" customHeight="1">
      <c r="A129" s="2" t="s">
        <v>254</v>
      </c>
      <c r="B129" s="2" t="s">
        <v>255</v>
      </c>
      <c r="C129" s="1">
        <v>54</v>
      </c>
      <c r="D129" s="1" t="s">
        <v>256</v>
      </c>
      <c r="E129" s="1"/>
      <c r="G129" s="2" t="s">
        <v>257</v>
      </c>
      <c r="I129" s="1" t="s">
        <v>23</v>
      </c>
      <c r="O129" s="49" t="s">
        <v>232</v>
      </c>
      <c r="P129" s="48">
        <v>25</v>
      </c>
      <c r="Q129" s="52">
        <v>0</v>
      </c>
      <c r="R129" s="52">
        <v>0</v>
      </c>
      <c r="S129" s="52">
        <v>0.14000000000000001</v>
      </c>
      <c r="T129" s="51">
        <f>SUM(R120:R131)</f>
        <v>1.7</v>
      </c>
      <c r="U129" s="50">
        <f t="shared" ref="U129" si="2">+T129/12</f>
        <v>0.14166666666666666</v>
      </c>
    </row>
    <row r="130" spans="1:21" ht="13.5" customHeight="1">
      <c r="A130" s="3" t="s">
        <v>259</v>
      </c>
      <c r="B130" s="5"/>
      <c r="C130" s="3"/>
      <c r="D130" s="3"/>
      <c r="E130" s="3"/>
      <c r="I130" s="53"/>
      <c r="O130" s="49" t="s">
        <v>233</v>
      </c>
      <c r="P130" s="48">
        <v>25</v>
      </c>
      <c r="Q130" s="52">
        <v>0</v>
      </c>
      <c r="R130" s="52">
        <v>0</v>
      </c>
      <c r="S130" s="52">
        <v>0.14000000000000001</v>
      </c>
      <c r="T130" s="51">
        <f>SUM(R120:R131)</f>
        <v>1.7</v>
      </c>
      <c r="U130" s="50">
        <f t="shared" ref="U130" si="3">+T130/12</f>
        <v>0.14166666666666666</v>
      </c>
    </row>
    <row r="131" spans="1:21">
      <c r="A131" s="3" t="s">
        <v>10</v>
      </c>
      <c r="B131" s="5" t="s">
        <v>11</v>
      </c>
      <c r="C131" s="3" t="s">
        <v>12</v>
      </c>
      <c r="D131" s="3" t="s">
        <v>13</v>
      </c>
      <c r="E131" s="3"/>
      <c r="G131" s="5" t="s">
        <v>161</v>
      </c>
      <c r="I131" s="3" t="s">
        <v>0</v>
      </c>
      <c r="O131" s="49" t="s">
        <v>234</v>
      </c>
      <c r="P131" s="48">
        <v>25</v>
      </c>
      <c r="Q131" s="52">
        <v>54</v>
      </c>
      <c r="R131" s="52">
        <v>0</v>
      </c>
      <c r="S131" s="52">
        <v>0.14000000000000001</v>
      </c>
      <c r="T131" s="51">
        <f t="shared" ref="T131" si="4">SUM(R120:R131)</f>
        <v>1.7</v>
      </c>
      <c r="U131" s="50">
        <f t="shared" ref="U131" si="5">+T131/12</f>
        <v>0.14166666666666666</v>
      </c>
    </row>
    <row r="132" spans="1:21" ht="12.75" customHeight="1">
      <c r="A132" s="2" t="s">
        <v>254</v>
      </c>
      <c r="B132" s="2" t="s">
        <v>255</v>
      </c>
      <c r="C132" s="1">
        <v>54</v>
      </c>
      <c r="D132" s="1" t="s">
        <v>266</v>
      </c>
      <c r="E132" s="1"/>
      <c r="G132" s="2" t="s">
        <v>257</v>
      </c>
      <c r="I132" s="1" t="s">
        <v>23</v>
      </c>
      <c r="O132" s="49" t="s">
        <v>236</v>
      </c>
      <c r="P132" s="48">
        <v>25</v>
      </c>
      <c r="Q132" s="52">
        <v>30</v>
      </c>
      <c r="R132" s="52">
        <v>28.35</v>
      </c>
      <c r="S132" s="52">
        <v>2.504</v>
      </c>
      <c r="T132" s="51">
        <f t="shared" ref="T132" si="6">SUM(R121:R132)</f>
        <v>30.05</v>
      </c>
      <c r="U132" s="50">
        <f t="shared" ref="U132" si="7">+T132/12</f>
        <v>2.5041666666666669</v>
      </c>
    </row>
    <row r="133" spans="1:21">
      <c r="A133" s="3" t="s">
        <v>267</v>
      </c>
      <c r="B133" s="5"/>
      <c r="C133" s="3"/>
      <c r="D133" s="3"/>
      <c r="E133" s="3"/>
      <c r="I133" s="53"/>
      <c r="O133" s="49" t="s">
        <v>244</v>
      </c>
      <c r="P133" s="48">
        <v>25</v>
      </c>
      <c r="Q133" s="52">
        <v>71</v>
      </c>
      <c r="R133" s="52">
        <v>70.790000000000006</v>
      </c>
      <c r="S133" s="52">
        <v>8.2609999999999992</v>
      </c>
      <c r="T133" s="51">
        <f t="shared" ref="T133" si="8">SUM(R122:R133)</f>
        <v>99.140000000000015</v>
      </c>
      <c r="U133" s="50">
        <f t="shared" ref="U133" si="9">+T133/12</f>
        <v>8.2616666666666685</v>
      </c>
    </row>
    <row r="134" spans="1:21" ht="12" customHeight="1">
      <c r="A134" s="3" t="s">
        <v>10</v>
      </c>
      <c r="B134" s="5" t="s">
        <v>11</v>
      </c>
      <c r="C134" s="3" t="s">
        <v>12</v>
      </c>
      <c r="D134" s="3" t="s">
        <v>13</v>
      </c>
      <c r="E134" s="3"/>
      <c r="G134" s="5" t="s">
        <v>161</v>
      </c>
      <c r="I134" s="3" t="s">
        <v>0</v>
      </c>
      <c r="O134" s="49" t="s">
        <v>248</v>
      </c>
      <c r="P134" s="48">
        <v>25</v>
      </c>
      <c r="Q134" s="52">
        <v>0</v>
      </c>
      <c r="R134" s="52">
        <v>0</v>
      </c>
      <c r="S134" s="52">
        <v>8.2609999999999992</v>
      </c>
      <c r="T134" s="51">
        <f t="shared" ref="T134" si="10">SUM(R123:R134)</f>
        <v>99.140000000000015</v>
      </c>
      <c r="U134" s="50">
        <f t="shared" ref="U134" si="11">+T134/12</f>
        <v>8.2616666666666685</v>
      </c>
    </row>
    <row r="135" spans="1:21" ht="13.5" customHeight="1">
      <c r="A135" s="2" t="s">
        <v>262</v>
      </c>
      <c r="B135" s="46"/>
      <c r="C135" s="54"/>
      <c r="D135" s="1"/>
      <c r="E135" s="1"/>
      <c r="O135" s="49" t="s">
        <v>253</v>
      </c>
      <c r="P135" s="48">
        <v>25</v>
      </c>
      <c r="Q135" s="52">
        <v>0</v>
      </c>
      <c r="R135" s="52">
        <v>54.7</v>
      </c>
      <c r="S135" s="52">
        <v>12.82</v>
      </c>
      <c r="T135" s="51">
        <f t="shared" ref="T135" si="12">SUM(R124:R135)</f>
        <v>153.84000000000003</v>
      </c>
      <c r="U135" s="50">
        <f t="shared" ref="U135" si="13">+T135/12</f>
        <v>12.820000000000002</v>
      </c>
    </row>
    <row r="136" spans="1:21" ht="13.5" customHeight="1">
      <c r="A136" s="3" t="s">
        <v>268</v>
      </c>
      <c r="B136" s="5"/>
      <c r="C136" s="3"/>
      <c r="D136" s="3"/>
      <c r="E136" s="3"/>
      <c r="I136" s="53"/>
      <c r="O136" s="49" t="s">
        <v>260</v>
      </c>
      <c r="P136" s="48">
        <v>25</v>
      </c>
      <c r="Q136" s="52">
        <v>0</v>
      </c>
      <c r="R136" s="52">
        <v>47.14</v>
      </c>
      <c r="S136" s="52">
        <v>16.739999999999998</v>
      </c>
      <c r="T136" s="51">
        <f t="shared" ref="T136" si="14">SUM(R125:R136)</f>
        <v>200.98000000000002</v>
      </c>
      <c r="U136" s="50">
        <f t="shared" ref="U136" si="15">+T136/12</f>
        <v>16.748333333333335</v>
      </c>
    </row>
    <row r="137" spans="1:21" ht="14.25" customHeight="1">
      <c r="A137" s="3" t="s">
        <v>10</v>
      </c>
      <c r="B137" s="5" t="s">
        <v>11</v>
      </c>
      <c r="C137" s="3" t="s">
        <v>12</v>
      </c>
      <c r="D137" s="3" t="s">
        <v>13</v>
      </c>
      <c r="E137" s="3"/>
      <c r="G137" s="5" t="s">
        <v>161</v>
      </c>
      <c r="I137" s="3" t="s">
        <v>0</v>
      </c>
      <c r="O137" s="49" t="s">
        <v>264</v>
      </c>
      <c r="P137" s="48">
        <v>25</v>
      </c>
      <c r="Q137" s="52">
        <v>0</v>
      </c>
      <c r="R137" s="52">
        <v>0</v>
      </c>
      <c r="S137" s="52">
        <v>16.739999999999998</v>
      </c>
      <c r="T137" s="51">
        <f t="shared" ref="T137" si="16">SUM(R126:R137)</f>
        <v>200.98000000000002</v>
      </c>
      <c r="U137" s="50">
        <f t="shared" ref="U137" si="17">+T137/12</f>
        <v>16.748333333333335</v>
      </c>
    </row>
    <row r="138" spans="1:21" ht="12" customHeight="1">
      <c r="A138" s="2" t="s">
        <v>276</v>
      </c>
      <c r="B138" s="2" t="s">
        <v>277</v>
      </c>
      <c r="C138" s="54">
        <v>1</v>
      </c>
      <c r="D138" s="1" t="s">
        <v>278</v>
      </c>
      <c r="E138" s="1"/>
      <c r="G138" s="18" t="s">
        <v>239</v>
      </c>
      <c r="I138" s="18" t="s">
        <v>279</v>
      </c>
      <c r="O138" s="49" t="s">
        <v>269</v>
      </c>
      <c r="P138" s="48">
        <v>25</v>
      </c>
      <c r="Q138" s="52">
        <v>0</v>
      </c>
      <c r="R138" s="52">
        <v>3</v>
      </c>
      <c r="S138" s="52">
        <v>16.989999999999998</v>
      </c>
      <c r="T138" s="51">
        <f t="shared" ref="T138" si="18">SUM(R127:R138)</f>
        <v>203.98000000000002</v>
      </c>
      <c r="U138" s="50">
        <f t="shared" ref="U138" si="19">+T138/12</f>
        <v>16.998333333333335</v>
      </c>
    </row>
    <row r="139" spans="1:21" ht="14.25" customHeight="1">
      <c r="A139" s="1" t="s">
        <v>280</v>
      </c>
      <c r="B139" s="2" t="s">
        <v>277</v>
      </c>
      <c r="C139" s="54">
        <v>3</v>
      </c>
      <c r="D139" s="1" t="s">
        <v>281</v>
      </c>
      <c r="E139" s="3"/>
      <c r="G139" s="18" t="s">
        <v>239</v>
      </c>
      <c r="I139" s="18" t="s">
        <v>279</v>
      </c>
      <c r="O139" s="49" t="s">
        <v>283</v>
      </c>
      <c r="P139" s="48">
        <v>25</v>
      </c>
      <c r="Q139" s="52">
        <v>0</v>
      </c>
      <c r="R139" s="52">
        <v>129</v>
      </c>
      <c r="S139" s="52">
        <v>27.75</v>
      </c>
      <c r="T139" s="51">
        <f t="shared" ref="T139" si="20">SUM(R128:R139)</f>
        <v>332.98</v>
      </c>
      <c r="U139" s="50">
        <f t="shared" ref="U139" si="21">+T139/12</f>
        <v>27.748333333333335</v>
      </c>
    </row>
    <row r="140" spans="1:21" ht="12.75" customHeight="1">
      <c r="A140" s="3" t="s">
        <v>285</v>
      </c>
      <c r="B140" s="5"/>
      <c r="C140" s="3"/>
      <c r="D140" s="3"/>
      <c r="E140" s="3"/>
      <c r="I140" s="53"/>
      <c r="O140" s="49" t="s">
        <v>302</v>
      </c>
      <c r="P140" s="48">
        <v>25</v>
      </c>
      <c r="Q140" s="52">
        <v>0</v>
      </c>
      <c r="R140" s="52">
        <v>201</v>
      </c>
      <c r="S140" s="52">
        <v>44.49</v>
      </c>
      <c r="T140" s="51">
        <f t="shared" ref="T140" si="22">SUM(R129:R140)</f>
        <v>533.98</v>
      </c>
      <c r="U140" s="50">
        <f t="shared" ref="U140" si="23">+T140/12</f>
        <v>44.498333333333335</v>
      </c>
    </row>
    <row r="141" spans="1:21" ht="12.75" customHeight="1">
      <c r="A141" s="3" t="s">
        <v>10</v>
      </c>
      <c r="B141" s="5" t="s">
        <v>11</v>
      </c>
      <c r="C141" s="3" t="s">
        <v>12</v>
      </c>
      <c r="D141" s="3" t="s">
        <v>13</v>
      </c>
      <c r="E141" s="3"/>
      <c r="G141" s="5" t="s">
        <v>161</v>
      </c>
      <c r="I141" s="3" t="s">
        <v>0</v>
      </c>
      <c r="O141" s="49" t="s">
        <v>318</v>
      </c>
      <c r="P141" s="48">
        <v>25</v>
      </c>
      <c r="Q141" s="52">
        <v>0</v>
      </c>
      <c r="R141" s="52">
        <v>204</v>
      </c>
      <c r="S141" s="52">
        <v>61.5</v>
      </c>
      <c r="T141" s="51">
        <f t="shared" ref="T141" si="24">SUM(R130:R141)</f>
        <v>737.98</v>
      </c>
      <c r="U141" s="50">
        <f t="shared" ref="U141" si="25">+T141/12</f>
        <v>61.498333333333335</v>
      </c>
    </row>
    <row r="142" spans="1:21">
      <c r="A142" s="2" t="s">
        <v>286</v>
      </c>
      <c r="B142" s="2" t="s">
        <v>287</v>
      </c>
      <c r="C142" s="54">
        <v>6</v>
      </c>
      <c r="D142" s="1" t="s">
        <v>288</v>
      </c>
      <c r="E142" s="1"/>
      <c r="G142" s="18" t="s">
        <v>239</v>
      </c>
      <c r="I142" s="1" t="s">
        <v>23</v>
      </c>
      <c r="O142" s="49" t="s">
        <v>332</v>
      </c>
      <c r="P142" s="48">
        <v>25</v>
      </c>
      <c r="Q142" s="52">
        <v>0</v>
      </c>
      <c r="R142" s="52">
        <v>77</v>
      </c>
      <c r="S142" s="52">
        <v>67.91</v>
      </c>
      <c r="T142" s="51">
        <f t="shared" ref="T142" si="26">SUM(R131:R142)</f>
        <v>814.98</v>
      </c>
      <c r="U142" s="50">
        <f t="shared" ref="U142" si="27">+T142/12</f>
        <v>67.915000000000006</v>
      </c>
    </row>
    <row r="143" spans="1:21">
      <c r="A143" s="1" t="s">
        <v>289</v>
      </c>
      <c r="B143" s="2" t="s">
        <v>277</v>
      </c>
      <c r="C143" s="1">
        <v>56</v>
      </c>
      <c r="D143" s="1" t="s">
        <v>290</v>
      </c>
      <c r="E143" s="1"/>
      <c r="G143" s="2" t="s">
        <v>239</v>
      </c>
      <c r="I143" s="18" t="s">
        <v>279</v>
      </c>
    </row>
    <row r="144" spans="1:21" ht="12.75" customHeight="1">
      <c r="A144" s="1" t="s">
        <v>289</v>
      </c>
      <c r="B144" s="2" t="s">
        <v>277</v>
      </c>
      <c r="C144" s="1">
        <v>2</v>
      </c>
      <c r="D144" s="1" t="s">
        <v>291</v>
      </c>
      <c r="E144" s="1"/>
      <c r="G144" s="18" t="s">
        <v>239</v>
      </c>
      <c r="I144" s="18" t="s">
        <v>279</v>
      </c>
    </row>
    <row r="145" spans="1:21" ht="13.5" customHeight="1">
      <c r="A145" s="1" t="s">
        <v>292</v>
      </c>
      <c r="B145" s="2" t="s">
        <v>293</v>
      </c>
      <c r="C145" s="59">
        <v>64</v>
      </c>
      <c r="D145" s="4" t="s">
        <v>256</v>
      </c>
      <c r="E145" s="4"/>
      <c r="G145" s="18" t="s">
        <v>239</v>
      </c>
      <c r="I145" s="1" t="s">
        <v>23</v>
      </c>
    </row>
    <row r="146" spans="1:21" ht="13.5" customHeight="1">
      <c r="A146" s="3" t="s">
        <v>295</v>
      </c>
      <c r="B146" s="5"/>
      <c r="C146" s="3"/>
      <c r="D146" s="3"/>
      <c r="E146" s="3"/>
      <c r="I146" s="53"/>
    </row>
    <row r="147" spans="1:21" ht="14.25" customHeight="1">
      <c r="A147" s="3" t="s">
        <v>10</v>
      </c>
      <c r="B147" s="5" t="s">
        <v>11</v>
      </c>
      <c r="C147" s="3" t="s">
        <v>12</v>
      </c>
      <c r="D147" s="3" t="s">
        <v>13</v>
      </c>
      <c r="E147" s="3"/>
      <c r="G147" s="5" t="s">
        <v>161</v>
      </c>
      <c r="I147" s="3" t="s">
        <v>0</v>
      </c>
    </row>
    <row r="148" spans="1:21" ht="13.5" customHeight="1">
      <c r="A148" s="47" t="s">
        <v>299</v>
      </c>
      <c r="B148" s="2" t="s">
        <v>300</v>
      </c>
      <c r="C148" s="59">
        <v>1</v>
      </c>
      <c r="D148" s="4" t="s">
        <v>301</v>
      </c>
      <c r="E148" s="4"/>
      <c r="G148" s="2" t="s">
        <v>257</v>
      </c>
      <c r="I148" s="1" t="s">
        <v>23</v>
      </c>
    </row>
    <row r="149" spans="1:21" ht="12" customHeight="1">
      <c r="A149" s="2" t="s">
        <v>286</v>
      </c>
      <c r="B149" s="2" t="s">
        <v>287</v>
      </c>
      <c r="C149" s="1">
        <v>200</v>
      </c>
      <c r="D149" s="1" t="s">
        <v>256</v>
      </c>
      <c r="E149" s="1"/>
      <c r="G149" s="18" t="s">
        <v>239</v>
      </c>
      <c r="I149" s="18" t="s">
        <v>279</v>
      </c>
    </row>
    <row r="150" spans="1:21" s="24" customFormat="1" ht="12" customHeight="1">
      <c r="A150" s="18" t="s">
        <v>303</v>
      </c>
      <c r="B150" s="2" t="s">
        <v>300</v>
      </c>
      <c r="C150" s="1" t="s">
        <v>304</v>
      </c>
      <c r="D150" s="31" t="s">
        <v>305</v>
      </c>
      <c r="E150" s="22"/>
      <c r="F150" s="18"/>
      <c r="G150" s="22" t="s">
        <v>257</v>
      </c>
      <c r="H150" s="18"/>
      <c r="I150" s="18" t="s">
        <v>309</v>
      </c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21" t="s">
        <v>306</v>
      </c>
      <c r="B151" s="61" t="s">
        <v>307</v>
      </c>
      <c r="C151" s="2">
        <v>4</v>
      </c>
      <c r="D151" s="4" t="s">
        <v>308</v>
      </c>
      <c r="E151" s="4"/>
      <c r="G151" s="18" t="s">
        <v>257</v>
      </c>
      <c r="I151" s="18" t="s">
        <v>310</v>
      </c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3" t="s">
        <v>313</v>
      </c>
      <c r="B152" s="5"/>
      <c r="C152" s="3"/>
      <c r="D152" s="3"/>
      <c r="E152" s="3"/>
      <c r="F152" s="18"/>
      <c r="G152" s="18"/>
      <c r="H152" s="18"/>
      <c r="I152" s="53"/>
      <c r="O152" s="35"/>
      <c r="P152" s="35"/>
      <c r="Q152" s="35"/>
      <c r="R152" s="35"/>
      <c r="S152" s="35"/>
      <c r="T152" s="35"/>
      <c r="U152" s="35"/>
    </row>
    <row r="153" spans="1:21" s="24" customFormat="1" ht="12" customHeight="1">
      <c r="A153" s="3" t="s">
        <v>10</v>
      </c>
      <c r="B153" s="5" t="s">
        <v>11</v>
      </c>
      <c r="C153" s="3" t="s">
        <v>12</v>
      </c>
      <c r="D153" s="3" t="s">
        <v>13</v>
      </c>
      <c r="E153" s="3"/>
      <c r="F153" s="18"/>
      <c r="G153" s="5" t="s">
        <v>161</v>
      </c>
      <c r="H153" s="18"/>
      <c r="I153" s="3" t="s">
        <v>0</v>
      </c>
      <c r="O153" s="35"/>
      <c r="P153" s="35"/>
      <c r="Q153" s="35"/>
      <c r="R153" s="35"/>
      <c r="S153" s="35"/>
      <c r="T153" s="35"/>
      <c r="U153" s="35"/>
    </row>
    <row r="154" spans="1:21" ht="13.5" customHeight="1">
      <c r="A154" s="2" t="s">
        <v>286</v>
      </c>
      <c r="B154" s="2" t="s">
        <v>287</v>
      </c>
      <c r="C154" s="2">
        <v>100</v>
      </c>
      <c r="D154" s="4" t="s">
        <v>256</v>
      </c>
      <c r="E154" s="4"/>
      <c r="G154" s="18" t="s">
        <v>239</v>
      </c>
      <c r="I154" s="1" t="s">
        <v>23</v>
      </c>
      <c r="O154" s="35"/>
      <c r="P154" s="35"/>
      <c r="Q154" s="35"/>
      <c r="R154" s="35"/>
      <c r="S154" s="35"/>
      <c r="T154" s="35"/>
      <c r="U154" s="35"/>
    </row>
    <row r="155" spans="1:21" ht="14.25" customHeight="1">
      <c r="A155" s="2" t="s">
        <v>286</v>
      </c>
      <c r="B155" s="2" t="s">
        <v>287</v>
      </c>
      <c r="C155" s="2">
        <v>100</v>
      </c>
      <c r="D155" s="4" t="s">
        <v>256</v>
      </c>
      <c r="E155" s="4"/>
      <c r="G155" s="18" t="s">
        <v>239</v>
      </c>
      <c r="I155" s="1" t="s">
        <v>23</v>
      </c>
      <c r="O155" s="35"/>
      <c r="P155" s="35"/>
      <c r="Q155" s="35"/>
      <c r="R155" s="35"/>
      <c r="S155" s="35"/>
      <c r="T155" s="35"/>
      <c r="U155" s="35"/>
    </row>
    <row r="156" spans="1:21" s="24" customFormat="1" ht="13.5" customHeight="1">
      <c r="A156" s="47" t="s">
        <v>299</v>
      </c>
      <c r="B156" s="2" t="s">
        <v>300</v>
      </c>
      <c r="C156" s="22">
        <v>1</v>
      </c>
      <c r="D156" s="21" t="s">
        <v>314</v>
      </c>
      <c r="E156" s="18"/>
      <c r="F156" s="18"/>
      <c r="G156" s="18" t="s">
        <v>257</v>
      </c>
      <c r="H156" s="18"/>
      <c r="I156" s="18" t="s">
        <v>23</v>
      </c>
      <c r="O156" s="18"/>
      <c r="P156" s="18"/>
      <c r="Q156" s="18"/>
      <c r="R156" s="18"/>
      <c r="S156" s="18"/>
      <c r="T156" s="18"/>
      <c r="U156" s="18"/>
    </row>
    <row r="157" spans="1:21" s="24" customFormat="1">
      <c r="A157" s="1" t="s">
        <v>292</v>
      </c>
      <c r="B157" s="2" t="s">
        <v>293</v>
      </c>
      <c r="C157" s="2">
        <v>1</v>
      </c>
      <c r="D157" s="4" t="s">
        <v>315</v>
      </c>
      <c r="E157" s="4"/>
      <c r="F157" s="18"/>
      <c r="G157" s="18" t="s">
        <v>239</v>
      </c>
      <c r="H157" s="18"/>
      <c r="I157" s="1" t="s">
        <v>23</v>
      </c>
      <c r="O157" s="18"/>
      <c r="P157" s="18"/>
      <c r="Q157" s="18"/>
      <c r="R157" s="18"/>
      <c r="S157" s="18"/>
      <c r="T157" s="18"/>
      <c r="U157" s="18"/>
    </row>
    <row r="158" spans="1:21" s="24" customFormat="1">
      <c r="A158" s="47" t="s">
        <v>299</v>
      </c>
      <c r="B158" s="2" t="s">
        <v>300</v>
      </c>
      <c r="C158" s="22">
        <v>1</v>
      </c>
      <c r="D158" s="21" t="s">
        <v>316</v>
      </c>
      <c r="E158" s="18"/>
      <c r="F158" s="18"/>
      <c r="G158" s="18" t="s">
        <v>257</v>
      </c>
      <c r="H158" s="18"/>
      <c r="I158" s="18" t="s">
        <v>23</v>
      </c>
      <c r="O158" s="18"/>
      <c r="P158" s="18"/>
      <c r="Q158" s="18"/>
      <c r="R158" s="18"/>
      <c r="S158" s="18"/>
      <c r="T158" s="18"/>
      <c r="U158" s="18"/>
    </row>
    <row r="159" spans="1:21" s="24" customFormat="1">
      <c r="A159" s="47" t="s">
        <v>299</v>
      </c>
      <c r="B159" s="2" t="s">
        <v>300</v>
      </c>
      <c r="C159" s="22">
        <v>1</v>
      </c>
      <c r="D159" s="21" t="s">
        <v>317</v>
      </c>
      <c r="E159" s="18"/>
      <c r="F159" s="18"/>
      <c r="G159" s="18" t="s">
        <v>257</v>
      </c>
      <c r="H159" s="18"/>
      <c r="I159" s="18" t="s">
        <v>23</v>
      </c>
      <c r="O159" s="18"/>
      <c r="P159" s="18"/>
      <c r="Q159" s="18"/>
      <c r="R159" s="18"/>
      <c r="S159" s="18"/>
      <c r="T159" s="18"/>
      <c r="U159" s="18"/>
    </row>
    <row r="160" spans="1:21">
      <c r="A160" s="3" t="s">
        <v>319</v>
      </c>
      <c r="B160" s="5"/>
    </row>
    <row r="161" spans="1:9">
      <c r="A161" s="3" t="s">
        <v>10</v>
      </c>
      <c r="B161" s="5" t="s">
        <v>11</v>
      </c>
      <c r="C161" s="3" t="s">
        <v>12</v>
      </c>
      <c r="D161" s="3" t="s">
        <v>13</v>
      </c>
      <c r="E161" s="3"/>
      <c r="G161" s="5" t="s">
        <v>161</v>
      </c>
      <c r="I161" s="3" t="s">
        <v>0</v>
      </c>
    </row>
    <row r="162" spans="1:9">
      <c r="A162" s="18" t="s">
        <v>303</v>
      </c>
      <c r="B162" s="2" t="s">
        <v>300</v>
      </c>
      <c r="C162" s="2" t="s">
        <v>304</v>
      </c>
      <c r="D162" s="4" t="s">
        <v>323</v>
      </c>
      <c r="E162" s="2"/>
      <c r="G162" s="18" t="s">
        <v>257</v>
      </c>
      <c r="I162" s="18" t="s">
        <v>309</v>
      </c>
    </row>
    <row r="163" spans="1:9">
      <c r="A163" s="18" t="s">
        <v>303</v>
      </c>
      <c r="B163" s="2" t="s">
        <v>300</v>
      </c>
      <c r="C163" s="2" t="s">
        <v>304</v>
      </c>
      <c r="D163" s="4" t="s">
        <v>328</v>
      </c>
      <c r="E163" s="2"/>
      <c r="G163" s="18" t="s">
        <v>257</v>
      </c>
      <c r="I163" s="18" t="s">
        <v>309</v>
      </c>
    </row>
    <row r="164" spans="1:9" ht="13.5" customHeight="1">
      <c r="A164" s="66" t="s">
        <v>324</v>
      </c>
      <c r="B164" s="22" t="s">
        <v>327</v>
      </c>
      <c r="C164" s="22" t="s">
        <v>304</v>
      </c>
      <c r="D164" s="4" t="s">
        <v>325</v>
      </c>
      <c r="E164" s="22"/>
      <c r="G164" s="64" t="s">
        <v>257</v>
      </c>
      <c r="I164" s="64" t="s">
        <v>326</v>
      </c>
    </row>
    <row r="165" spans="1:9" s="64" customFormat="1">
      <c r="A165" s="66" t="s">
        <v>324</v>
      </c>
      <c r="B165" s="22" t="s">
        <v>327</v>
      </c>
      <c r="C165" s="2" t="s">
        <v>304</v>
      </c>
      <c r="D165" s="1" t="s">
        <v>329</v>
      </c>
      <c r="E165" s="1"/>
      <c r="G165" s="64" t="s">
        <v>257</v>
      </c>
      <c r="I165" s="1" t="s">
        <v>330</v>
      </c>
    </row>
    <row r="166" spans="1:9">
      <c r="A166" s="2" t="s">
        <v>286</v>
      </c>
      <c r="B166" s="2" t="s">
        <v>287</v>
      </c>
      <c r="C166" s="2">
        <v>76</v>
      </c>
      <c r="D166" s="4" t="s">
        <v>256</v>
      </c>
      <c r="E166" s="4"/>
      <c r="G166" s="18" t="s">
        <v>239</v>
      </c>
      <c r="I166" s="1" t="s">
        <v>23</v>
      </c>
    </row>
    <row r="167" spans="1:9">
      <c r="A167" s="47" t="s">
        <v>299</v>
      </c>
      <c r="B167" s="2" t="s">
        <v>300</v>
      </c>
      <c r="C167" s="22">
        <v>1</v>
      </c>
      <c r="D167" s="21" t="s">
        <v>331</v>
      </c>
      <c r="G167" s="18" t="s">
        <v>257</v>
      </c>
      <c r="I167" s="18" t="s">
        <v>23</v>
      </c>
    </row>
    <row r="168" spans="1:9">
      <c r="A168" s="3"/>
      <c r="B168" s="22"/>
      <c r="C168" s="22"/>
      <c r="D168" s="4"/>
      <c r="E168" s="22"/>
    </row>
    <row r="169" spans="1:9">
      <c r="A169" s="3"/>
      <c r="B169" s="5"/>
      <c r="C169" s="3"/>
      <c r="D169" s="3"/>
      <c r="E169" s="3"/>
      <c r="G169" s="5"/>
      <c r="I169" s="3"/>
    </row>
    <row r="170" spans="1:9">
      <c r="A170" s="46"/>
      <c r="B170" s="5"/>
      <c r="C170" s="3"/>
      <c r="D170" s="3"/>
      <c r="E170" s="3"/>
    </row>
    <row r="171" spans="1:9">
      <c r="A171" s="3"/>
      <c r="B171" s="5"/>
      <c r="C171" s="3"/>
      <c r="D171" s="3"/>
      <c r="E171" s="3"/>
    </row>
    <row r="172" spans="1:9">
      <c r="A172" s="22"/>
      <c r="B172" s="22"/>
      <c r="C172" s="22"/>
      <c r="D172" s="31"/>
      <c r="E172" s="22"/>
    </row>
    <row r="173" spans="1:9">
      <c r="A173" s="15"/>
      <c r="B173" s="2"/>
      <c r="C173" s="2"/>
      <c r="D173" s="4"/>
      <c r="E173" s="4"/>
    </row>
    <row r="174" spans="1:9">
      <c r="A174" s="22"/>
      <c r="B174" s="22"/>
      <c r="C174" s="22"/>
      <c r="D174" s="31"/>
      <c r="E174" s="22"/>
    </row>
    <row r="175" spans="1:9">
      <c r="A175" s="22"/>
      <c r="B175" s="22"/>
      <c r="C175" s="2"/>
      <c r="D175" s="4"/>
      <c r="E175" s="4"/>
    </row>
    <row r="176" spans="1:9">
      <c r="A176" s="26"/>
      <c r="B176" s="26"/>
      <c r="C176" s="26"/>
      <c r="D176" s="31"/>
      <c r="E176" s="26"/>
    </row>
    <row r="177" spans="1:21">
      <c r="A177" s="26"/>
      <c r="B177" s="26"/>
      <c r="C177" s="26"/>
      <c r="D177" s="32"/>
      <c r="E177" s="26"/>
    </row>
    <row r="178" spans="1:21">
      <c r="A178" s="3"/>
      <c r="B178" s="5"/>
      <c r="C178" s="26"/>
      <c r="D178" s="32"/>
      <c r="E178" s="26"/>
    </row>
    <row r="179" spans="1:21" s="35" customFormat="1">
      <c r="A179" s="3"/>
      <c r="B179" s="5"/>
      <c r="C179" s="3"/>
      <c r="D179" s="3"/>
      <c r="E179" s="3"/>
      <c r="F179" s="18"/>
      <c r="G179" s="18"/>
      <c r="H179" s="18"/>
      <c r="I179" s="18"/>
      <c r="O179" s="18"/>
      <c r="P179" s="18"/>
      <c r="Q179" s="18"/>
      <c r="R179" s="18"/>
      <c r="S179" s="18"/>
      <c r="T179" s="18"/>
      <c r="U179" s="18"/>
    </row>
    <row r="180" spans="1:21" s="35" customFormat="1">
      <c r="A180" s="33"/>
      <c r="B180" s="33"/>
      <c r="C180" s="33"/>
      <c r="D180" s="34"/>
      <c r="E180" s="33"/>
      <c r="O180" s="18"/>
      <c r="P180" s="18"/>
      <c r="Q180" s="18"/>
      <c r="R180" s="18"/>
      <c r="S180" s="18"/>
      <c r="T180" s="18"/>
      <c r="U180" s="18"/>
    </row>
    <row r="181" spans="1:21" s="35" customFormat="1">
      <c r="A181" s="33"/>
      <c r="B181" s="33"/>
      <c r="C181" s="33"/>
      <c r="D181" s="34"/>
      <c r="E181" s="33"/>
      <c r="O181" s="18"/>
      <c r="P181" s="18"/>
      <c r="Q181" s="18"/>
      <c r="R181" s="18"/>
      <c r="S181" s="18"/>
      <c r="T181" s="18"/>
      <c r="U181" s="18"/>
    </row>
    <row r="182" spans="1:21">
      <c r="A182" s="33"/>
      <c r="B182" s="33"/>
      <c r="C182" s="33"/>
      <c r="D182" s="34"/>
      <c r="E182" s="33"/>
      <c r="F182" s="35"/>
      <c r="G182" s="35"/>
      <c r="H182" s="35"/>
      <c r="I182" s="35"/>
    </row>
    <row r="183" spans="1:21">
      <c r="A183" s="3"/>
      <c r="B183" s="5"/>
      <c r="C183" s="26"/>
      <c r="D183" s="32"/>
      <c r="E183" s="26"/>
    </row>
    <row r="184" spans="1:21">
      <c r="A184" s="3"/>
      <c r="B184" s="5"/>
      <c r="C184" s="3"/>
      <c r="D184" s="3"/>
      <c r="E184" s="3"/>
    </row>
    <row r="185" spans="1:21">
      <c r="A185" s="26"/>
      <c r="B185" s="26"/>
      <c r="C185" s="26"/>
      <c r="D185" s="25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  <row r="192" spans="1:21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</sheetData>
  <mergeCells count="12">
    <mergeCell ref="U114:V114"/>
    <mergeCell ref="R114:S114"/>
    <mergeCell ref="C114:D114"/>
    <mergeCell ref="F114:G114"/>
    <mergeCell ref="I114:J114"/>
    <mergeCell ref="L114:M114"/>
    <mergeCell ref="O114:P114"/>
    <mergeCell ref="AD114:AE114"/>
    <mergeCell ref="AA114:AB114"/>
    <mergeCell ref="X114:Y114"/>
    <mergeCell ref="AG114:AH114"/>
    <mergeCell ref="AJ114:AK114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4" max="31" man="1"/>
    <brk id="16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2012-02-06T19:32:06Z</dcterms:modified>
</cp:coreProperties>
</file>